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firstSheet="1" activeTab="10"/>
  </bookViews>
  <sheets>
    <sheet name="ENERO" sheetId="1" r:id="rId1"/>
    <sheet name="FEBRERO" sheetId="2" r:id="rId2"/>
    <sheet name="MARZO" sheetId="3" r:id="rId3"/>
    <sheet name="ABRIL" sheetId="4" r:id="rId4"/>
    <sheet name="MAYO" sheetId="8" r:id="rId5"/>
    <sheet name="JUNIO" sheetId="7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</sheets>
  <definedNames>
    <definedName name="_xlnm.Print_Area" localSheetId="3">ABRIL!$A$1:$G$51</definedName>
    <definedName name="_xlnm.Print_Area" localSheetId="7">AGOSTO!$A$1:$G$51</definedName>
    <definedName name="_xlnm.Print_Area" localSheetId="0">ENERO!$A$1:$G$51</definedName>
    <definedName name="_xlnm.Print_Area" localSheetId="1">FEBRERO!$A$1:$G$53</definedName>
    <definedName name="_xlnm.Print_Area" localSheetId="6">JULIO!$A$1:$G$51</definedName>
    <definedName name="_xlnm.Print_Area" localSheetId="5">JUNIO!$A$1:$G$51</definedName>
    <definedName name="_xlnm.Print_Area" localSheetId="2">MARZO!$A$1:$G$51</definedName>
    <definedName name="_xlnm.Print_Area" localSheetId="4">MAYO!$A$1:$G$51</definedName>
    <definedName name="_xlnm.Print_Area" localSheetId="10">NOVIEMBRE!$A$1:$G$51</definedName>
    <definedName name="_xlnm.Print_Area" localSheetId="9">OCTUBRE!$A$1:$G$51</definedName>
    <definedName name="_xlnm.Print_Area" localSheetId="8">SEPTIEMBRE!$A$1:$G$51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3" l="1"/>
  <c r="F15" i="13"/>
  <c r="F18" i="13"/>
  <c r="G18" i="13" s="1"/>
  <c r="G17" i="13" s="1"/>
  <c r="F23" i="13"/>
  <c r="F26" i="13"/>
  <c r="F25" i="13" s="1"/>
  <c r="F27" i="13"/>
  <c r="F34" i="13"/>
  <c r="F33" i="13" s="1"/>
  <c r="F32" i="13" s="1"/>
  <c r="F31" i="13" s="1"/>
  <c r="D40" i="13"/>
  <c r="E40" i="13" s="1"/>
  <c r="G40" i="13" s="1"/>
  <c r="G39" i="13"/>
  <c r="E39" i="13"/>
  <c r="E38" i="13"/>
  <c r="G38" i="13" s="1"/>
  <c r="F37" i="13"/>
  <c r="D37" i="13"/>
  <c r="C37" i="13"/>
  <c r="G36" i="13"/>
  <c r="E35" i="13"/>
  <c r="G35" i="13" s="1"/>
  <c r="E34" i="13"/>
  <c r="E33" i="13"/>
  <c r="D33" i="13"/>
  <c r="D32" i="13" s="1"/>
  <c r="C33" i="13"/>
  <c r="C32" i="13"/>
  <c r="C31" i="13"/>
  <c r="G30" i="13"/>
  <c r="E30" i="13"/>
  <c r="F29" i="13"/>
  <c r="E29" i="13"/>
  <c r="G29" i="13" s="1"/>
  <c r="D29" i="13"/>
  <c r="C29" i="13"/>
  <c r="G28" i="13"/>
  <c r="E28" i="13"/>
  <c r="E27" i="13"/>
  <c r="G27" i="13" s="1"/>
  <c r="G26" i="13"/>
  <c r="E26" i="13"/>
  <c r="E25" i="13" s="1"/>
  <c r="D25" i="13"/>
  <c r="C25" i="13"/>
  <c r="C24" i="13" s="1"/>
  <c r="D24" i="13"/>
  <c r="E23" i="13"/>
  <c r="G22" i="13"/>
  <c r="E22" i="13"/>
  <c r="F21" i="13"/>
  <c r="F19" i="13" s="1"/>
  <c r="E21" i="13"/>
  <c r="G21" i="13" s="1"/>
  <c r="E20" i="13"/>
  <c r="G20" i="13" s="1"/>
  <c r="D19" i="13"/>
  <c r="C19" i="13"/>
  <c r="E19" i="13" s="1"/>
  <c r="E18" i="13"/>
  <c r="E17" i="13" s="1"/>
  <c r="E16" i="13" s="1"/>
  <c r="F17" i="13"/>
  <c r="D17" i="13"/>
  <c r="C17" i="13"/>
  <c r="C16" i="13" s="1"/>
  <c r="D16" i="13"/>
  <c r="F14" i="13"/>
  <c r="E15" i="13"/>
  <c r="G15" i="13" s="1"/>
  <c r="D14" i="13"/>
  <c r="D10" i="13" s="1"/>
  <c r="D9" i="13" s="1"/>
  <c r="D8" i="13" s="1"/>
  <c r="D7" i="13" s="1"/>
  <c r="D41" i="13" s="1"/>
  <c r="C14" i="13"/>
  <c r="E14" i="13" s="1"/>
  <c r="E13" i="13"/>
  <c r="E11" i="13" s="1"/>
  <c r="E10" i="13" s="1"/>
  <c r="G12" i="13"/>
  <c r="E12" i="13"/>
  <c r="F11" i="13"/>
  <c r="F10" i="13" s="1"/>
  <c r="D11" i="13"/>
  <c r="C11" i="13"/>
  <c r="C10" i="13"/>
  <c r="G19" i="13" l="1"/>
  <c r="F16" i="13"/>
  <c r="F9" i="13" s="1"/>
  <c r="F8" i="13" s="1"/>
  <c r="G23" i="13"/>
  <c r="G16" i="13"/>
  <c r="G25" i="13"/>
  <c r="G34" i="13"/>
  <c r="G33" i="13" s="1"/>
  <c r="F24" i="13"/>
  <c r="E24" i="13"/>
  <c r="E9" i="13"/>
  <c r="E8" i="13" s="1"/>
  <c r="E7" i="13" s="1"/>
  <c r="E31" i="13"/>
  <c r="G31" i="13" s="1"/>
  <c r="E32" i="13"/>
  <c r="G32" i="13" s="1"/>
  <c r="D31" i="13"/>
  <c r="C9" i="13"/>
  <c r="C8" i="13" s="1"/>
  <c r="C7" i="13" s="1"/>
  <c r="C41" i="13" s="1"/>
  <c r="G14" i="13"/>
  <c r="G13" i="13"/>
  <c r="G11" i="13" s="1"/>
  <c r="E37" i="13"/>
  <c r="G37" i="13" s="1"/>
  <c r="E41" i="12"/>
  <c r="D41" i="12"/>
  <c r="C41" i="12"/>
  <c r="F13" i="12"/>
  <c r="F15" i="12"/>
  <c r="F18" i="12"/>
  <c r="F19" i="12"/>
  <c r="F21" i="12"/>
  <c r="F23" i="12"/>
  <c r="F26" i="12"/>
  <c r="F27" i="12"/>
  <c r="G10" i="13" l="1"/>
  <c r="G9" i="13" s="1"/>
  <c r="G8" i="13" s="1"/>
  <c r="F7" i="13"/>
  <c r="F41" i="13" s="1"/>
  <c r="G24" i="13"/>
  <c r="E41" i="13"/>
  <c r="D40" i="12"/>
  <c r="E40" i="12" s="1"/>
  <c r="G40" i="12" s="1"/>
  <c r="G39" i="12"/>
  <c r="E39" i="12"/>
  <c r="E38" i="12"/>
  <c r="G38" i="12" s="1"/>
  <c r="F37" i="12"/>
  <c r="D37" i="12"/>
  <c r="C37" i="12"/>
  <c r="G36" i="12"/>
  <c r="E35" i="12"/>
  <c r="G35" i="12" s="1"/>
  <c r="G34" i="12"/>
  <c r="G33" i="12" s="1"/>
  <c r="E34" i="12"/>
  <c r="F33" i="12"/>
  <c r="E33" i="12"/>
  <c r="D33" i="12"/>
  <c r="C33" i="12"/>
  <c r="F32" i="12"/>
  <c r="F31" i="12" s="1"/>
  <c r="D32" i="12"/>
  <c r="C32" i="12"/>
  <c r="E32" i="12" s="1"/>
  <c r="G32" i="12" s="1"/>
  <c r="D31" i="12"/>
  <c r="C31" i="12"/>
  <c r="E31" i="12" s="1"/>
  <c r="G31" i="12" s="1"/>
  <c r="E30" i="12"/>
  <c r="G30" i="12" s="1"/>
  <c r="F29" i="12"/>
  <c r="D29" i="12"/>
  <c r="C29" i="12"/>
  <c r="E29" i="12" s="1"/>
  <c r="G29" i="12" s="1"/>
  <c r="G28" i="12"/>
  <c r="E28" i="12"/>
  <c r="E27" i="12"/>
  <c r="G27" i="12" s="1"/>
  <c r="F25" i="12"/>
  <c r="F24" i="12" s="1"/>
  <c r="E26" i="12"/>
  <c r="G26" i="12" s="1"/>
  <c r="D25" i="12"/>
  <c r="C25" i="12"/>
  <c r="C24" i="12" s="1"/>
  <c r="D24" i="12"/>
  <c r="E23" i="12"/>
  <c r="G23" i="12" s="1"/>
  <c r="E22" i="12"/>
  <c r="G22" i="12" s="1"/>
  <c r="G21" i="12"/>
  <c r="E21" i="12"/>
  <c r="E20" i="12"/>
  <c r="G20" i="12" s="1"/>
  <c r="D19" i="12"/>
  <c r="C19" i="12"/>
  <c r="E19" i="12" s="1"/>
  <c r="F17" i="12"/>
  <c r="E18" i="12"/>
  <c r="G18" i="12" s="1"/>
  <c r="G17" i="12" s="1"/>
  <c r="D17" i="12"/>
  <c r="C17" i="12"/>
  <c r="C16" i="12" s="1"/>
  <c r="D16" i="12"/>
  <c r="F14" i="12"/>
  <c r="E15" i="12"/>
  <c r="G15" i="12" s="1"/>
  <c r="D14" i="12"/>
  <c r="E14" i="12" s="1"/>
  <c r="G14" i="12" s="1"/>
  <c r="C14" i="12"/>
  <c r="E13" i="12"/>
  <c r="G13" i="12" s="1"/>
  <c r="E12" i="12"/>
  <c r="G12" i="12" s="1"/>
  <c r="G11" i="12" s="1"/>
  <c r="F11" i="12"/>
  <c r="F10" i="12" s="1"/>
  <c r="D11" i="12"/>
  <c r="C11" i="12"/>
  <c r="C10" i="12"/>
  <c r="C9" i="12" s="1"/>
  <c r="C8" i="12" s="1"/>
  <c r="C7" i="12" s="1"/>
  <c r="G7" i="13" l="1"/>
  <c r="G41" i="13" s="1"/>
  <c r="G10" i="12"/>
  <c r="G25" i="12"/>
  <c r="D10" i="12"/>
  <c r="D9" i="12" s="1"/>
  <c r="D8" i="12" s="1"/>
  <c r="D7" i="12" s="1"/>
  <c r="E17" i="12"/>
  <c r="E16" i="12" s="1"/>
  <c r="E25" i="12"/>
  <c r="E24" i="12" s="1"/>
  <c r="G24" i="12" s="1"/>
  <c r="E37" i="12"/>
  <c r="G37" i="12" s="1"/>
  <c r="E11" i="12"/>
  <c r="E10" i="12" s="1"/>
  <c r="G19" i="12"/>
  <c r="G16" i="12" s="1"/>
  <c r="G41" i="11"/>
  <c r="F41" i="11"/>
  <c r="E41" i="11"/>
  <c r="D41" i="11"/>
  <c r="C41" i="11"/>
  <c r="G9" i="12" l="1"/>
  <c r="G8" i="12" s="1"/>
  <c r="G7" i="12" s="1"/>
  <c r="G41" i="12" s="1"/>
  <c r="E9" i="12"/>
  <c r="E8" i="12" s="1"/>
  <c r="E7" i="12" s="1"/>
  <c r="F16" i="12"/>
  <c r="F9" i="12" s="1"/>
  <c r="F8" i="12" s="1"/>
  <c r="F7" i="12" s="1"/>
  <c r="F41" i="12" s="1"/>
  <c r="G37" i="11"/>
  <c r="G29" i="11"/>
  <c r="E33" i="11"/>
  <c r="E29" i="11"/>
  <c r="E19" i="11"/>
  <c r="G19" i="11"/>
  <c r="G14" i="11"/>
  <c r="F40" i="11" l="1"/>
  <c r="F13" i="11"/>
  <c r="F15" i="11"/>
  <c r="F18" i="11"/>
  <c r="F21" i="11"/>
  <c r="G21" i="11" s="1"/>
  <c r="F23" i="11"/>
  <c r="F26" i="11"/>
  <c r="G26" i="11" s="1"/>
  <c r="F27" i="11"/>
  <c r="G27" i="11" s="1"/>
  <c r="E40" i="11"/>
  <c r="D40" i="11"/>
  <c r="G39" i="11"/>
  <c r="E39" i="11"/>
  <c r="G38" i="11"/>
  <c r="E38" i="11"/>
  <c r="F37" i="11"/>
  <c r="E37" i="11"/>
  <c r="D37" i="11"/>
  <c r="C37" i="11"/>
  <c r="G36" i="11"/>
  <c r="G35" i="11"/>
  <c r="E35" i="11"/>
  <c r="G34" i="11"/>
  <c r="G33" i="11" s="1"/>
  <c r="E34" i="11"/>
  <c r="F33" i="11"/>
  <c r="D33" i="11"/>
  <c r="C33" i="11"/>
  <c r="C32" i="11" s="1"/>
  <c r="F32" i="11"/>
  <c r="F31" i="11" s="1"/>
  <c r="D32" i="11"/>
  <c r="D31" i="11" s="1"/>
  <c r="E30" i="11"/>
  <c r="G30" i="11" s="1"/>
  <c r="F29" i="11"/>
  <c r="D29" i="11"/>
  <c r="C29" i="11"/>
  <c r="G28" i="11"/>
  <c r="E28" i="11"/>
  <c r="E27" i="11"/>
  <c r="E26" i="11"/>
  <c r="F25" i="11"/>
  <c r="E25" i="11"/>
  <c r="D25" i="11"/>
  <c r="C25" i="11"/>
  <c r="C24" i="11" s="1"/>
  <c r="F24" i="11"/>
  <c r="D24" i="11"/>
  <c r="G23" i="11"/>
  <c r="E23" i="11"/>
  <c r="G22" i="11"/>
  <c r="E22" i="11"/>
  <c r="E21" i="11"/>
  <c r="G20" i="11"/>
  <c r="E20" i="11"/>
  <c r="F19" i="11"/>
  <c r="D19" i="11"/>
  <c r="C19" i="11"/>
  <c r="E18" i="11"/>
  <c r="G18" i="11" s="1"/>
  <c r="G17" i="11" s="1"/>
  <c r="F17" i="11"/>
  <c r="D17" i="11"/>
  <c r="D16" i="11" s="1"/>
  <c r="C17" i="11"/>
  <c r="C16" i="11"/>
  <c r="E15" i="11"/>
  <c r="G15" i="11" s="1"/>
  <c r="F14" i="11"/>
  <c r="D14" i="11"/>
  <c r="C14" i="11"/>
  <c r="E14" i="11" s="1"/>
  <c r="G13" i="11"/>
  <c r="E13" i="11"/>
  <c r="G12" i="11"/>
  <c r="E12" i="11"/>
  <c r="G11" i="11"/>
  <c r="F11" i="11"/>
  <c r="E11" i="11"/>
  <c r="D11" i="11"/>
  <c r="C11" i="11"/>
  <c r="C10" i="11" s="1"/>
  <c r="C9" i="11" s="1"/>
  <c r="C8" i="11" s="1"/>
  <c r="D10" i="11"/>
  <c r="D9" i="11" s="1"/>
  <c r="D8" i="11" s="1"/>
  <c r="D7" i="11" s="1"/>
  <c r="G40" i="11" l="1"/>
  <c r="F10" i="11"/>
  <c r="G10" i="11"/>
  <c r="G16" i="11"/>
  <c r="F16" i="11"/>
  <c r="G25" i="11"/>
  <c r="E24" i="11"/>
  <c r="G24" i="11" s="1"/>
  <c r="C7" i="11"/>
  <c r="E32" i="11"/>
  <c r="G32" i="11" s="1"/>
  <c r="C31" i="11"/>
  <c r="E31" i="11" s="1"/>
  <c r="G31" i="11" s="1"/>
  <c r="E10" i="11"/>
  <c r="E17" i="11"/>
  <c r="E16" i="11" s="1"/>
  <c r="G41" i="10"/>
  <c r="F41" i="10"/>
  <c r="E41" i="10"/>
  <c r="D41" i="10"/>
  <c r="C41" i="10"/>
  <c r="G9" i="11" l="1"/>
  <c r="G8" i="11" s="1"/>
  <c r="G7" i="11" s="1"/>
  <c r="F9" i="11"/>
  <c r="F8" i="11" s="1"/>
  <c r="F7" i="11" s="1"/>
  <c r="E9" i="11"/>
  <c r="E8" i="11" s="1"/>
  <c r="E7" i="11" s="1"/>
  <c r="D40" i="10"/>
  <c r="E40" i="10" s="1"/>
  <c r="G40" i="10" s="1"/>
  <c r="E39" i="10"/>
  <c r="G39" i="10" s="1"/>
  <c r="E38" i="10"/>
  <c r="G38" i="10" s="1"/>
  <c r="G37" i="10" s="1"/>
  <c r="F37" i="10"/>
  <c r="D37" i="10"/>
  <c r="C37" i="10"/>
  <c r="G36" i="10"/>
  <c r="E35" i="10"/>
  <c r="G35" i="10" s="1"/>
  <c r="E34" i="10"/>
  <c r="G34" i="10" s="1"/>
  <c r="F33" i="10"/>
  <c r="F32" i="10" s="1"/>
  <c r="F31" i="10" s="1"/>
  <c r="D33" i="10"/>
  <c r="D32" i="10" s="1"/>
  <c r="C33" i="10"/>
  <c r="C32" i="10"/>
  <c r="C31" i="10" s="1"/>
  <c r="G30" i="10"/>
  <c r="G29" i="10" s="1"/>
  <c r="E30" i="10"/>
  <c r="F29" i="10"/>
  <c r="E29" i="10"/>
  <c r="D29" i="10"/>
  <c r="C29" i="10"/>
  <c r="E28" i="10"/>
  <c r="G28" i="10" s="1"/>
  <c r="E27" i="10"/>
  <c r="G27" i="10" s="1"/>
  <c r="E26" i="10"/>
  <c r="G26" i="10" s="1"/>
  <c r="G25" i="10" s="1"/>
  <c r="F25" i="10"/>
  <c r="F24" i="10" s="1"/>
  <c r="D25" i="10"/>
  <c r="D24" i="10" s="1"/>
  <c r="C25" i="10"/>
  <c r="C24" i="10"/>
  <c r="E23" i="10"/>
  <c r="G23" i="10" s="1"/>
  <c r="E22" i="10"/>
  <c r="G22" i="10" s="1"/>
  <c r="E21" i="10"/>
  <c r="G21" i="10" s="1"/>
  <c r="E20" i="10"/>
  <c r="G20" i="10" s="1"/>
  <c r="F19" i="10"/>
  <c r="D19" i="10"/>
  <c r="C19" i="10"/>
  <c r="G18" i="10"/>
  <c r="G17" i="10" s="1"/>
  <c r="E18" i="10"/>
  <c r="F17" i="10"/>
  <c r="E17" i="10"/>
  <c r="D17" i="10"/>
  <c r="C17" i="10"/>
  <c r="C16" i="10" s="1"/>
  <c r="F16" i="10"/>
  <c r="D16" i="10"/>
  <c r="G15" i="10"/>
  <c r="G14" i="10" s="1"/>
  <c r="E15" i="10"/>
  <c r="F14" i="10"/>
  <c r="E14" i="10"/>
  <c r="D14" i="10"/>
  <c r="C14" i="10"/>
  <c r="E13" i="10"/>
  <c r="G13" i="10" s="1"/>
  <c r="E12" i="10"/>
  <c r="G12" i="10" s="1"/>
  <c r="F11" i="10"/>
  <c r="F10" i="10" s="1"/>
  <c r="F9" i="10" s="1"/>
  <c r="F8" i="10" s="1"/>
  <c r="D11" i="10"/>
  <c r="D10" i="10" s="1"/>
  <c r="D9" i="10" s="1"/>
  <c r="D8" i="10" s="1"/>
  <c r="D7" i="10" s="1"/>
  <c r="C11" i="10"/>
  <c r="C10" i="10"/>
  <c r="E32" i="10" l="1"/>
  <c r="G32" i="10" s="1"/>
  <c r="D31" i="10"/>
  <c r="E31" i="10" s="1"/>
  <c r="G31" i="10" s="1"/>
  <c r="F7" i="10"/>
  <c r="G19" i="10"/>
  <c r="G16" i="10" s="1"/>
  <c r="C9" i="10"/>
  <c r="C8" i="10" s="1"/>
  <c r="C7" i="10" s="1"/>
  <c r="G11" i="10"/>
  <c r="G10" i="10" s="1"/>
  <c r="G33" i="10"/>
  <c r="E11" i="10"/>
  <c r="E10" i="10" s="1"/>
  <c r="E19" i="10"/>
  <c r="E16" i="10" s="1"/>
  <c r="E37" i="10"/>
  <c r="E25" i="10"/>
  <c r="E24" i="10" s="1"/>
  <c r="G24" i="10" s="1"/>
  <c r="E33" i="10"/>
  <c r="E41" i="9"/>
  <c r="G41" i="9"/>
  <c r="F41" i="9"/>
  <c r="D41" i="9"/>
  <c r="C41" i="9"/>
  <c r="E9" i="10" l="1"/>
  <c r="E8" i="10" s="1"/>
  <c r="E7" i="10" s="1"/>
  <c r="G9" i="10"/>
  <c r="G8" i="10" s="1"/>
  <c r="G7" i="10" s="1"/>
  <c r="D40" i="9"/>
  <c r="E40" i="9" s="1"/>
  <c r="G40" i="9" s="1"/>
  <c r="G39" i="9"/>
  <c r="E39" i="9"/>
  <c r="E38" i="9"/>
  <c r="F37" i="9"/>
  <c r="D37" i="9"/>
  <c r="C37" i="9"/>
  <c r="F36" i="9"/>
  <c r="G36" i="9" s="1"/>
  <c r="E35" i="9"/>
  <c r="G35" i="9" s="1"/>
  <c r="F34" i="9"/>
  <c r="F33" i="9" s="1"/>
  <c r="F32" i="9" s="1"/>
  <c r="F31" i="9" s="1"/>
  <c r="E34" i="9"/>
  <c r="G34" i="9" s="1"/>
  <c r="D33" i="9"/>
  <c r="C33" i="9"/>
  <c r="C32" i="9" s="1"/>
  <c r="D32" i="9"/>
  <c r="D31" i="9" s="1"/>
  <c r="E30" i="9"/>
  <c r="G30" i="9" s="1"/>
  <c r="G29" i="9" s="1"/>
  <c r="F29" i="9"/>
  <c r="D29" i="9"/>
  <c r="D24" i="9" s="1"/>
  <c r="C29" i="9"/>
  <c r="F28" i="9"/>
  <c r="E28" i="9"/>
  <c r="G28" i="9" s="1"/>
  <c r="F27" i="9"/>
  <c r="E27" i="9"/>
  <c r="G27" i="9" s="1"/>
  <c r="G26" i="9"/>
  <c r="F26" i="9"/>
  <c r="E26" i="9"/>
  <c r="E25" i="9" s="1"/>
  <c r="F25" i="9"/>
  <c r="F24" i="9" s="1"/>
  <c r="D25" i="9"/>
  <c r="C25" i="9"/>
  <c r="F23" i="9"/>
  <c r="E23" i="9"/>
  <c r="G23" i="9" s="1"/>
  <c r="G22" i="9"/>
  <c r="E22" i="9"/>
  <c r="E21" i="9"/>
  <c r="G21" i="9" s="1"/>
  <c r="G20" i="9"/>
  <c r="G19" i="9" s="1"/>
  <c r="F20" i="9"/>
  <c r="E20" i="9"/>
  <c r="E19" i="9" s="1"/>
  <c r="F19" i="9"/>
  <c r="D19" i="9"/>
  <c r="C19" i="9"/>
  <c r="G18" i="9"/>
  <c r="G17" i="9" s="1"/>
  <c r="F18" i="9"/>
  <c r="E18" i="9"/>
  <c r="E17" i="9" s="1"/>
  <c r="E16" i="9" s="1"/>
  <c r="F17" i="9"/>
  <c r="F16" i="9" s="1"/>
  <c r="D17" i="9"/>
  <c r="C17" i="9"/>
  <c r="D16" i="9"/>
  <c r="C16" i="9"/>
  <c r="F15" i="9"/>
  <c r="F14" i="9" s="1"/>
  <c r="F10" i="9" s="1"/>
  <c r="F9" i="9" s="1"/>
  <c r="F8" i="9" s="1"/>
  <c r="E15" i="9"/>
  <c r="G15" i="9" s="1"/>
  <c r="G14" i="9" s="1"/>
  <c r="D14" i="9"/>
  <c r="D10" i="9" s="1"/>
  <c r="D9" i="9" s="1"/>
  <c r="D8" i="9" s="1"/>
  <c r="D7" i="9" s="1"/>
  <c r="C14" i="9"/>
  <c r="C10" i="9" s="1"/>
  <c r="C9" i="9" s="1"/>
  <c r="C8" i="9" s="1"/>
  <c r="F13" i="9"/>
  <c r="E13" i="9"/>
  <c r="G13" i="9" s="1"/>
  <c r="G12" i="9"/>
  <c r="G11" i="9" s="1"/>
  <c r="G10" i="9" s="1"/>
  <c r="E12" i="9"/>
  <c r="F11" i="9"/>
  <c r="E11" i="9"/>
  <c r="D11" i="9"/>
  <c r="C11" i="9"/>
  <c r="G9" i="9" l="1"/>
  <c r="G8" i="9" s="1"/>
  <c r="C24" i="9"/>
  <c r="C31" i="9"/>
  <c r="E31" i="9" s="1"/>
  <c r="G31" i="9" s="1"/>
  <c r="E32" i="9"/>
  <c r="G32" i="9" s="1"/>
  <c r="F7" i="9"/>
  <c r="G16" i="9"/>
  <c r="E37" i="9"/>
  <c r="C7" i="9"/>
  <c r="G25" i="9"/>
  <c r="G33" i="9"/>
  <c r="E29" i="9"/>
  <c r="E24" i="9" s="1"/>
  <c r="G24" i="9" s="1"/>
  <c r="E14" i="9"/>
  <c r="E10" i="9" s="1"/>
  <c r="E9" i="9" s="1"/>
  <c r="E8" i="9" s="1"/>
  <c r="E7" i="9" s="1"/>
  <c r="G38" i="9"/>
  <c r="G37" i="9" s="1"/>
  <c r="E33" i="9"/>
  <c r="G40" i="3"/>
  <c r="F40" i="3"/>
  <c r="E40" i="3"/>
  <c r="F40" i="4"/>
  <c r="E40" i="4"/>
  <c r="G7" i="9" l="1"/>
  <c r="E40" i="8"/>
  <c r="G40" i="8" s="1"/>
  <c r="G39" i="8"/>
  <c r="E39" i="8"/>
  <c r="E38" i="8"/>
  <c r="G38" i="8" s="1"/>
  <c r="F37" i="8"/>
  <c r="D37" i="8"/>
  <c r="C37" i="8"/>
  <c r="F36" i="8"/>
  <c r="E36" i="8"/>
  <c r="G36" i="8" s="1"/>
  <c r="G35" i="8"/>
  <c r="E35" i="8"/>
  <c r="F34" i="8"/>
  <c r="F33" i="8" s="1"/>
  <c r="F32" i="8" s="1"/>
  <c r="F31" i="8" s="1"/>
  <c r="E34" i="8"/>
  <c r="G34" i="8" s="1"/>
  <c r="D33" i="8"/>
  <c r="D32" i="8" s="1"/>
  <c r="C33" i="8"/>
  <c r="C32" i="8"/>
  <c r="C31" i="8"/>
  <c r="G30" i="8"/>
  <c r="E30" i="8"/>
  <c r="F29" i="8"/>
  <c r="E29" i="8"/>
  <c r="G29" i="8" s="1"/>
  <c r="D29" i="8"/>
  <c r="C29" i="8"/>
  <c r="F28" i="8"/>
  <c r="G28" i="8" s="1"/>
  <c r="E28" i="8"/>
  <c r="F27" i="8"/>
  <c r="E27" i="8"/>
  <c r="G27" i="8" s="1"/>
  <c r="F26" i="8"/>
  <c r="F25" i="8" s="1"/>
  <c r="E26" i="8"/>
  <c r="G26" i="8" s="1"/>
  <c r="D25" i="8"/>
  <c r="C25" i="8"/>
  <c r="C24" i="8" s="1"/>
  <c r="E24" i="8" s="1"/>
  <c r="D24" i="8"/>
  <c r="E23" i="8"/>
  <c r="G23" i="8" s="1"/>
  <c r="G22" i="8"/>
  <c r="E22" i="8"/>
  <c r="E21" i="8"/>
  <c r="G21" i="8" s="1"/>
  <c r="G20" i="8"/>
  <c r="F20" i="8"/>
  <c r="E20" i="8"/>
  <c r="F19" i="8"/>
  <c r="D19" i="8"/>
  <c r="C19" i="8"/>
  <c r="E19" i="8" s="1"/>
  <c r="G19" i="8" s="1"/>
  <c r="G18" i="8"/>
  <c r="F18" i="8"/>
  <c r="E18" i="8"/>
  <c r="F17" i="8"/>
  <c r="F16" i="8" s="1"/>
  <c r="D17" i="8"/>
  <c r="C17" i="8"/>
  <c r="E17" i="8" s="1"/>
  <c r="G17" i="8" s="1"/>
  <c r="D16" i="8"/>
  <c r="C16" i="8"/>
  <c r="E16" i="8" s="1"/>
  <c r="G16" i="8" s="1"/>
  <c r="F15" i="8"/>
  <c r="F14" i="8" s="1"/>
  <c r="F10" i="8" s="1"/>
  <c r="F9" i="8" s="1"/>
  <c r="F8" i="8" s="1"/>
  <c r="E15" i="8"/>
  <c r="G15" i="8" s="1"/>
  <c r="D14" i="8"/>
  <c r="D10" i="8" s="1"/>
  <c r="D9" i="8" s="1"/>
  <c r="D8" i="8" s="1"/>
  <c r="D7" i="8" s="1"/>
  <c r="D41" i="8" s="1"/>
  <c r="C14" i="8"/>
  <c r="E14" i="8" s="1"/>
  <c r="F13" i="8"/>
  <c r="E13" i="8"/>
  <c r="G13" i="8" s="1"/>
  <c r="G12" i="8"/>
  <c r="E12" i="8"/>
  <c r="F11" i="8"/>
  <c r="E11" i="8"/>
  <c r="G11" i="8" s="1"/>
  <c r="D11" i="8"/>
  <c r="C11" i="8"/>
  <c r="F40" i="7"/>
  <c r="D40" i="7"/>
  <c r="E40" i="7" s="1"/>
  <c r="G40" i="7" s="1"/>
  <c r="F39" i="7"/>
  <c r="G39" i="7" s="1"/>
  <c r="E39" i="7"/>
  <c r="E38" i="7"/>
  <c r="G38" i="7" s="1"/>
  <c r="D37" i="7"/>
  <c r="C37" i="7"/>
  <c r="F36" i="7"/>
  <c r="G36" i="7" s="1"/>
  <c r="E35" i="7"/>
  <c r="G35" i="7" s="1"/>
  <c r="F34" i="7"/>
  <c r="F33" i="7" s="1"/>
  <c r="F32" i="7" s="1"/>
  <c r="F31" i="7" s="1"/>
  <c r="E34" i="7"/>
  <c r="E33" i="7" s="1"/>
  <c r="D33" i="7"/>
  <c r="C33" i="7"/>
  <c r="C32" i="7" s="1"/>
  <c r="D32" i="7"/>
  <c r="D31" i="7" s="1"/>
  <c r="E30" i="7"/>
  <c r="G30" i="7" s="1"/>
  <c r="G29" i="7" s="1"/>
  <c r="F29" i="7"/>
  <c r="D29" i="7"/>
  <c r="D24" i="7" s="1"/>
  <c r="C29" i="7"/>
  <c r="F28" i="7"/>
  <c r="E28" i="7"/>
  <c r="G28" i="7" s="1"/>
  <c r="F27" i="7"/>
  <c r="E27" i="7"/>
  <c r="G27" i="7" s="1"/>
  <c r="G26" i="7"/>
  <c r="G25" i="7" s="1"/>
  <c r="F26" i="7"/>
  <c r="E26" i="7"/>
  <c r="F25" i="7"/>
  <c r="F24" i="7" s="1"/>
  <c r="D25" i="7"/>
  <c r="C25" i="7"/>
  <c r="F23" i="7"/>
  <c r="E23" i="7"/>
  <c r="G23" i="7" s="1"/>
  <c r="G22" i="7"/>
  <c r="E22" i="7"/>
  <c r="E21" i="7"/>
  <c r="G21" i="7" s="1"/>
  <c r="G20" i="7"/>
  <c r="G19" i="7" s="1"/>
  <c r="F20" i="7"/>
  <c r="E20" i="7"/>
  <c r="F19" i="7"/>
  <c r="D19" i="7"/>
  <c r="C19" i="7"/>
  <c r="G18" i="7"/>
  <c r="G17" i="7" s="1"/>
  <c r="F18" i="7"/>
  <c r="E18" i="7"/>
  <c r="E17" i="7" s="1"/>
  <c r="F17" i="7"/>
  <c r="F16" i="7" s="1"/>
  <c r="D17" i="7"/>
  <c r="C17" i="7"/>
  <c r="D16" i="7"/>
  <c r="C16" i="7"/>
  <c r="F15" i="7"/>
  <c r="F14" i="7" s="1"/>
  <c r="F10" i="7" s="1"/>
  <c r="E15" i="7"/>
  <c r="G15" i="7" s="1"/>
  <c r="G14" i="7" s="1"/>
  <c r="D14" i="7"/>
  <c r="D10" i="7" s="1"/>
  <c r="D9" i="7" s="1"/>
  <c r="D8" i="7" s="1"/>
  <c r="D7" i="7" s="1"/>
  <c r="D41" i="7" s="1"/>
  <c r="C14" i="7"/>
  <c r="E14" i="7" s="1"/>
  <c r="F13" i="7"/>
  <c r="E13" i="7"/>
  <c r="G13" i="7" s="1"/>
  <c r="G12" i="7"/>
  <c r="G11" i="7" s="1"/>
  <c r="G10" i="7" s="1"/>
  <c r="E12" i="7"/>
  <c r="F11" i="7"/>
  <c r="E11" i="7"/>
  <c r="D11" i="7"/>
  <c r="C11" i="7"/>
  <c r="G14" i="8" l="1"/>
  <c r="D31" i="8"/>
  <c r="E32" i="8"/>
  <c r="G32" i="8" s="1"/>
  <c r="F24" i="8"/>
  <c r="F7" i="8" s="1"/>
  <c r="F41" i="8" s="1"/>
  <c r="G24" i="8"/>
  <c r="E31" i="8"/>
  <c r="G31" i="8" s="1"/>
  <c r="C10" i="8"/>
  <c r="E33" i="8"/>
  <c r="G33" i="8" s="1"/>
  <c r="E25" i="8"/>
  <c r="G25" i="8" s="1"/>
  <c r="E37" i="8"/>
  <c r="G37" i="8" s="1"/>
  <c r="F9" i="7"/>
  <c r="F8" i="7" s="1"/>
  <c r="F7" i="7" s="1"/>
  <c r="G16" i="7"/>
  <c r="G9" i="7"/>
  <c r="G8" i="7" s="1"/>
  <c r="E10" i="7"/>
  <c r="C31" i="7"/>
  <c r="E31" i="7" s="1"/>
  <c r="G31" i="7" s="1"/>
  <c r="E32" i="7"/>
  <c r="G32" i="7" s="1"/>
  <c r="C24" i="7"/>
  <c r="G37" i="7"/>
  <c r="C10" i="7"/>
  <c r="C9" i="7" s="1"/>
  <c r="C8" i="7" s="1"/>
  <c r="E29" i="7"/>
  <c r="E19" i="7"/>
  <c r="E16" i="7" s="1"/>
  <c r="E25" i="7"/>
  <c r="G34" i="7"/>
  <c r="G33" i="7" s="1"/>
  <c r="F37" i="7"/>
  <c r="E37" i="7"/>
  <c r="E10" i="8" l="1"/>
  <c r="G10" i="8" s="1"/>
  <c r="C9" i="8"/>
  <c r="C7" i="7"/>
  <c r="C41" i="7" s="1"/>
  <c r="E24" i="7"/>
  <c r="G24" i="7" s="1"/>
  <c r="G7" i="7" s="1"/>
  <c r="G41" i="7" s="1"/>
  <c r="E9" i="7"/>
  <c r="E8" i="7" s="1"/>
  <c r="F41" i="7"/>
  <c r="C8" i="8" l="1"/>
  <c r="E9" i="8"/>
  <c r="G9" i="8" s="1"/>
  <c r="E7" i="7"/>
  <c r="E41" i="7" s="1"/>
  <c r="C7" i="8" l="1"/>
  <c r="E8" i="8"/>
  <c r="G8" i="8" s="1"/>
  <c r="C41" i="8" l="1"/>
  <c r="E7" i="8"/>
  <c r="G7" i="8" l="1"/>
  <c r="G41" i="8" s="1"/>
  <c r="E41" i="8"/>
  <c r="G42" i="2" l="1"/>
  <c r="F42" i="2"/>
  <c r="E42" i="2"/>
  <c r="E40" i="1"/>
  <c r="F40" i="1"/>
  <c r="G40" i="1"/>
  <c r="D40" i="1"/>
  <c r="C40" i="1"/>
  <c r="E36" i="4"/>
  <c r="D40" i="4"/>
  <c r="G9" i="2" l="1"/>
  <c r="C16" i="1" l="1"/>
  <c r="C13" i="1"/>
  <c r="C12" i="1"/>
  <c r="C11" i="1" l="1"/>
  <c r="C10" i="1" s="1"/>
  <c r="C9" i="1" s="1"/>
  <c r="F13" i="4" l="1"/>
  <c r="F18" i="4"/>
  <c r="F20" i="4"/>
  <c r="F23" i="4"/>
  <c r="F26" i="4"/>
  <c r="E39" i="4" l="1"/>
  <c r="G39" i="4" s="1"/>
  <c r="E38" i="4"/>
  <c r="G38" i="4" s="1"/>
  <c r="E37" i="4"/>
  <c r="G37" i="4" s="1"/>
  <c r="F36" i="4"/>
  <c r="C36" i="4"/>
  <c r="G36" i="4" s="1"/>
  <c r="F35" i="4"/>
  <c r="E35" i="4"/>
  <c r="G35" i="4" s="1"/>
  <c r="G34" i="4"/>
  <c r="E34" i="4"/>
  <c r="F33" i="4"/>
  <c r="C33" i="4"/>
  <c r="E33" i="4" s="1"/>
  <c r="F32" i="4"/>
  <c r="F31" i="4" s="1"/>
  <c r="E30" i="4"/>
  <c r="G30" i="4" s="1"/>
  <c r="F29" i="4"/>
  <c r="E29" i="4"/>
  <c r="G29" i="4" s="1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E18" i="4"/>
  <c r="G18" i="4" s="1"/>
  <c r="F17" i="4"/>
  <c r="C17" i="4"/>
  <c r="E17" i="4" s="1"/>
  <c r="F16" i="4"/>
  <c r="D16" i="4"/>
  <c r="E16" i="4" s="1"/>
  <c r="F15" i="4"/>
  <c r="E15" i="4"/>
  <c r="E14" i="4"/>
  <c r="E13" i="4"/>
  <c r="G13" i="4" s="1"/>
  <c r="E12" i="4"/>
  <c r="G12" i="4" s="1"/>
  <c r="F11" i="4"/>
  <c r="E11" i="4"/>
  <c r="C11" i="4"/>
  <c r="E10" i="4"/>
  <c r="D9" i="4"/>
  <c r="D8" i="4" s="1"/>
  <c r="C9" i="4"/>
  <c r="C8" i="4" s="1"/>
  <c r="C32" i="4" l="1"/>
  <c r="G15" i="4"/>
  <c r="G14" i="4" s="1"/>
  <c r="G11" i="4"/>
  <c r="G17" i="4"/>
  <c r="G19" i="4"/>
  <c r="G16" i="4"/>
  <c r="G33" i="4"/>
  <c r="D7" i="4"/>
  <c r="E8" i="4"/>
  <c r="C7" i="4"/>
  <c r="E24" i="4"/>
  <c r="G25" i="4"/>
  <c r="F24" i="4"/>
  <c r="F14" i="4"/>
  <c r="F10" i="4" s="1"/>
  <c r="E9" i="4"/>
  <c r="E25" i="4"/>
  <c r="E37" i="3"/>
  <c r="E39" i="3"/>
  <c r="G24" i="4" l="1"/>
  <c r="C31" i="4"/>
  <c r="E31" i="4" s="1"/>
  <c r="G31" i="4" s="1"/>
  <c r="E32" i="4"/>
  <c r="G32" i="4" s="1"/>
  <c r="F9" i="4"/>
  <c r="F8" i="4" s="1"/>
  <c r="F7" i="4" s="1"/>
  <c r="G10" i="4"/>
  <c r="E7" i="4"/>
  <c r="C40" i="4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E36" i="3" s="1"/>
  <c r="F33" i="3"/>
  <c r="F32" i="3" s="1"/>
  <c r="F31" i="3" s="1"/>
  <c r="E35" i="3"/>
  <c r="E34" i="3"/>
  <c r="G34" i="3" s="1"/>
  <c r="C33" i="3"/>
  <c r="E33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E21" i="3"/>
  <c r="G21" i="3" s="1"/>
  <c r="E20" i="3"/>
  <c r="G20" i="3" s="1"/>
  <c r="D19" i="3"/>
  <c r="D16" i="3" s="1"/>
  <c r="E16" i="3" s="1"/>
  <c r="C19" i="3"/>
  <c r="E19" i="3" s="1"/>
  <c r="F17" i="3"/>
  <c r="E18" i="3"/>
  <c r="G18" i="3" s="1"/>
  <c r="C17" i="3"/>
  <c r="E17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E10" i="3"/>
  <c r="D9" i="3"/>
  <c r="D8" i="3" s="1"/>
  <c r="C9" i="3"/>
  <c r="C8" i="3" s="1"/>
  <c r="C32" i="3" l="1"/>
  <c r="E32" i="3" s="1"/>
  <c r="G32" i="3" s="1"/>
  <c r="G11" i="3"/>
  <c r="G17" i="3"/>
  <c r="F10" i="3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5" i="2"/>
  <c r="F13" i="2" s="1"/>
  <c r="F12" i="2" s="1"/>
  <c r="F16" i="2"/>
  <c r="E17" i="2"/>
  <c r="G17" i="2" s="1"/>
  <c r="G16" i="2" s="1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C35" i="2"/>
  <c r="C34" i="2" s="1"/>
  <c r="E32" i="2"/>
  <c r="G32" i="2" s="1"/>
  <c r="F31" i="2"/>
  <c r="E31" i="2"/>
  <c r="G31" i="2" s="1"/>
  <c r="E30" i="2"/>
  <c r="E29" i="2"/>
  <c r="G29" i="2" s="1"/>
  <c r="E28" i="2"/>
  <c r="D27" i="2"/>
  <c r="D26" i="2" s="1"/>
  <c r="C27" i="2"/>
  <c r="C26" i="2" s="1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0" i="2"/>
  <c r="C19" i="2"/>
  <c r="E19" i="2" s="1"/>
  <c r="E15" i="2"/>
  <c r="E14" i="2"/>
  <c r="G14" i="2" s="1"/>
  <c r="C13" i="2"/>
  <c r="E13" i="2" s="1"/>
  <c r="E12" i="2"/>
  <c r="D11" i="2"/>
  <c r="C11" i="2"/>
  <c r="C10" i="2"/>
  <c r="E34" i="2" l="1"/>
  <c r="C33" i="2"/>
  <c r="E33" i="2" s="1"/>
  <c r="E35" i="2"/>
  <c r="E11" i="2"/>
  <c r="E21" i="2"/>
  <c r="E26" i="2"/>
  <c r="C9" i="2"/>
  <c r="F16" i="3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C42" i="2"/>
  <c r="D10" i="2"/>
  <c r="E27" i="2"/>
  <c r="D25" i="1"/>
  <c r="F25" i="1"/>
  <c r="C25" i="1"/>
  <c r="E27" i="1"/>
  <c r="G27" i="1" s="1"/>
  <c r="G34" i="2" l="1"/>
  <c r="F9" i="3"/>
  <c r="C40" i="3"/>
  <c r="E7" i="3"/>
  <c r="G11" i="2"/>
  <c r="F9" i="2"/>
  <c r="G18" i="2"/>
  <c r="G27" i="2"/>
  <c r="G35" i="2"/>
  <c r="G33" i="2"/>
  <c r="E10" i="2"/>
  <c r="G10" i="2" s="1"/>
  <c r="D9" i="2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E13" i="1"/>
  <c r="C19" i="1"/>
  <c r="E25" i="1" l="1"/>
  <c r="G26" i="1"/>
  <c r="G25" i="1" s="1"/>
  <c r="F8" i="3"/>
  <c r="G9" i="3"/>
  <c r="G26" i="2"/>
  <c r="D42" i="2"/>
  <c r="E9" i="2"/>
  <c r="F13" i="1"/>
  <c r="F12" i="1" s="1"/>
  <c r="F7" i="3" l="1"/>
  <c r="G8" i="3"/>
  <c r="F19" i="1"/>
  <c r="D24" i="1"/>
  <c r="F29" i="1"/>
  <c r="F33" i="1"/>
  <c r="C33" i="1"/>
  <c r="E33" i="1" s="1"/>
  <c r="C36" i="1"/>
  <c r="G7" i="3" l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D9" i="1" s="1"/>
  <c r="F16" i="1"/>
  <c r="F31" i="1"/>
  <c r="F24" i="1" s="1"/>
  <c r="G36" i="1"/>
  <c r="G37" i="1"/>
  <c r="E11" i="1" l="1"/>
  <c r="G16" i="1"/>
  <c r="F11" i="1"/>
  <c r="F10" i="1" s="1"/>
  <c r="F9" i="1" s="1"/>
  <c r="G19" i="1"/>
  <c r="G12" i="1"/>
  <c r="G33" i="1"/>
  <c r="E10" i="1" l="1"/>
  <c r="G10" i="1" s="1"/>
  <c r="G11" i="1"/>
  <c r="G32" i="1"/>
  <c r="E9" i="1" l="1"/>
  <c r="G9" i="1" s="1"/>
  <c r="G31" i="1"/>
  <c r="G24" i="1" s="1"/>
</calcChain>
</file>

<file path=xl/sharedStrings.xml><?xml version="1.0" encoding="utf-8"?>
<sst xmlns="http://schemas.openxmlformats.org/spreadsheetml/2006/main" count="677" uniqueCount="89">
  <si>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</si>
  <si>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</si>
  <si>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</si>
  <si>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</si>
  <si>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</si>
  <si>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</si>
  <si>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</si>
  <si>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</si>
  <si>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</si>
  <si>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</si>
  <si>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</si>
  <si>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</si>
  <si>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</si>
  <si>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</si>
  <si>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</si>
  <si>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</si>
  <si>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</si>
  <si>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</si>
  <si>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</si>
  <si>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</si>
  <si>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</si>
  <si>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</si>
  <si>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</si>
  <si>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</si>
  <si>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</si>
  <si>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</si>
  <si>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</si>
  <si>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</si>
  <si>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</si>
  <si>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</si>
  <si>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</si>
  <si>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</si>
  <si>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</si>
  <si>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</si>
  <si>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</si>
  <si>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</si>
  <si>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</si>
  <si>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</si>
  <si>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</si>
  <si>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</si>
  <si>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</si>
  <si>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</si>
  <si>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</si>
  <si>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</si>
  <si>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</si>
  <si>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</si>
  <si>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</si>
  <si>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</si>
  <si>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</si>
  <si>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</si>
  <si>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</si>
  <si>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</si>
  <si>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</si>
  <si>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</si>
  <si>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</si>
  <si>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</si>
  <si>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</si>
  <si>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</si>
  <si>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</si>
  <si>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</si>
  <si>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</si>
  <si>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</si>
  <si>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</si>
  <si>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</si>
  <si>
    <t>JUNIO</t>
  </si>
  <si>
    <r>
      <t xml:space="preserve">* A 30 DE JUNIO DE 2018 SE CONTRACREDITO ( RECORTÒ ) A LA AGENCIA NACIONAL DE INFRAESTRUCTURA  LA SUMA TOTAL  DE $ 319.000.000.000.oo,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</t>
    </r>
  </si>
  <si>
    <t>JULIO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</si>
  <si>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$ 250.000.000.000, 1021 DEL 14/06/2018 EN LA SUMA DE $ 69.000.000.000. Y  1283 DEL 25/07/2018  LA SUMA DE   $20.000.000.000.</t>
    </r>
  </si>
  <si>
    <t>AGOSTO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</si>
  <si>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 Y CON EL DECRETO 1283 DEL 25/07/2018  LA SUMA DE   $20.000.000.000</t>
    </r>
  </si>
  <si>
    <t>SEPTIEMBRE</t>
  </si>
  <si>
    <t>OCTUBRE</t>
  </si>
  <si>
    <t xml:space="preserve">                                       </t>
  </si>
  <si>
    <t xml:space="preserve">                                         </t>
  </si>
  <si>
    <t xml:space="preserve">                             </t>
  </si>
  <si>
    <t>_____________________________________________</t>
  </si>
  <si>
    <t xml:space="preserve">   JUANA CELINA CARVAJAL REYES</t>
  </si>
  <si>
    <t xml:space="preserve">                                           </t>
  </si>
  <si>
    <t xml:space="preserve"> EXP.G3-6 CON FUNCIONES DE TESORERA</t>
  </si>
  <si>
    <t xml:space="preserve">                                     </t>
  </si>
  <si>
    <t xml:space="preserve">       ______________________________________</t>
  </si>
  <si>
    <t>_______________________________________</t>
  </si>
  <si>
    <t>NOVIEMBRE</t>
  </si>
  <si>
    <t>ELIZABETH GOMEZ SANCHEZ</t>
  </si>
  <si>
    <t xml:space="preserve">  </t>
  </si>
  <si>
    <t>VICEPRESIDENTE ADMINISTRATIVA Y FINANCIERA</t>
  </si>
  <si>
    <t xml:space="preserve"> JUANA CELINA CARVAJAL REYES</t>
  </si>
  <si>
    <t xml:space="preserve"> </t>
  </si>
  <si>
    <t>EXP.G3-6 CON FUNCIONES DE 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</si>
</sst>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182">
    <xf numFmtId="0" fontId="0" fillId="0" borderId="0" xfId="0"/>
    <xf numFmtId="164" fontId="6" fillId="2" borderId="8" xfId="1" applyFont="1" applyFill="1" applyBorder="1" applyAlignment="1">
      <alignment horizontal="right" vertical="center"/>
    </xf>
    <xf numFmtId="164" fontId="5" fillId="2" borderId="8" xfId="1" applyFont="1" applyFill="1" applyBorder="1" applyAlignment="1">
      <alignment horizontal="right" vertical="center"/>
    </xf>
    <xf numFmtId="164" fontId="5" fillId="2" borderId="9" xfId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164" fontId="5" fillId="2" borderId="8" xfId="1" applyFont="1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3" fontId="5" fillId="2" borderId="0" xfId="0" applyNumberFormat="1" applyFont="1" applyFill="1" applyBorder="1"/>
    <xf numFmtId="4" fontId="7" fillId="2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left" vertical="center"/>
    </xf>
    <xf numFmtId="164" fontId="5" fillId="2" borderId="5" xfId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0" xfId="1" applyFont="1" applyFill="1" applyBorder="1" applyAlignment="1">
      <alignment vertical="top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2" borderId="11" xfId="1" applyFont="1" applyFill="1" applyBorder="1" applyAlignment="1">
      <alignment vertical="center"/>
    </xf>
    <xf numFmtId="164" fontId="5" fillId="2" borderId="12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164" fontId="5" fillId="2" borderId="0" xfId="1" applyFont="1" applyFill="1" applyBorder="1" applyAlignment="1">
      <alignment vertical="top"/>
    </xf>
    <xf numFmtId="0" fontId="6" fillId="2" borderId="4" xfId="0" applyFont="1" applyFill="1" applyBorder="1" applyAlignment="1"/>
    <xf numFmtId="0" fontId="5" fillId="2" borderId="0" xfId="0" applyFont="1" applyFill="1" applyBorder="1" applyAlignment="1">
      <alignment horizontal="left"/>
    </xf>
    <xf numFmtId="164" fontId="5" fillId="2" borderId="0" xfId="1" applyFont="1" applyFill="1" applyBorder="1" applyAlignment="1"/>
    <xf numFmtId="164" fontId="6" fillId="2" borderId="0" xfId="1" applyFont="1" applyFill="1" applyBorder="1" applyAlignment="1"/>
    <xf numFmtId="164" fontId="5" fillId="2" borderId="5" xfId="1" applyFont="1" applyFill="1" applyBorder="1" applyAlignment="1"/>
    <xf numFmtId="2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43" fontId="5" fillId="2" borderId="0" xfId="0" applyNumberFormat="1" applyFont="1" applyFill="1" applyBorder="1" applyAlignment="1">
      <alignment vertical="top"/>
    </xf>
    <xf numFmtId="164" fontId="6" fillId="2" borderId="0" xfId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vertical="top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43" fontId="10" fillId="2" borderId="0" xfId="0" applyNumberFormat="1" applyFont="1" applyFill="1" applyBorder="1" applyAlignment="1">
      <alignment vertical="center" wrapText="1"/>
    </xf>
    <xf numFmtId="43" fontId="10" fillId="2" borderId="5" xfId="0" applyNumberFormat="1" applyFont="1" applyFill="1" applyBorder="1" applyAlignment="1">
      <alignment vertical="center" wrapText="1"/>
    </xf>
    <xf numFmtId="14" fontId="5" fillId="2" borderId="5" xfId="1" applyNumberFormat="1" applyFont="1" applyFill="1" applyBorder="1" applyAlignment="1">
      <alignment vertical="center"/>
    </xf>
    <xf numFmtId="164" fontId="5" fillId="2" borderId="5" xfId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top" wrapText="1" readingOrder="1"/>
    </xf>
    <xf numFmtId="0" fontId="8" fillId="2" borderId="8" xfId="0" applyFont="1" applyFill="1" applyBorder="1" applyAlignment="1">
      <alignment vertical="top" readingOrder="1"/>
    </xf>
    <xf numFmtId="0" fontId="9" fillId="2" borderId="8" xfId="0" applyFont="1" applyFill="1" applyBorder="1" applyAlignment="1">
      <alignment vertical="top" readingOrder="1"/>
    </xf>
    <xf numFmtId="164" fontId="6" fillId="2" borderId="9" xfId="1" applyFont="1" applyFill="1" applyBorder="1" applyAlignment="1">
      <alignment horizontal="right" vertical="center"/>
    </xf>
    <xf numFmtId="43" fontId="6" fillId="2" borderId="8" xfId="1" applyNumberFormat="1" applyFont="1" applyFill="1" applyBorder="1" applyAlignment="1">
      <alignment horizontal="right" vertical="center"/>
    </xf>
    <xf numFmtId="164" fontId="6" fillId="2" borderId="8" xfId="1" applyFont="1" applyFill="1" applyBorder="1" applyAlignment="1">
      <alignment vertical="center"/>
    </xf>
    <xf numFmtId="164" fontId="6" fillId="2" borderId="9" xfId="1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164" fontId="6" fillId="2" borderId="14" xfId="1" applyFont="1" applyFill="1" applyBorder="1" applyAlignment="1">
      <alignment horizontal="right" vertical="center"/>
    </xf>
    <xf numFmtId="164" fontId="6" fillId="2" borderId="15" xfId="1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164" fontId="12" fillId="2" borderId="17" xfId="1" applyFont="1" applyFill="1" applyBorder="1" applyAlignment="1">
      <alignment horizontal="right" vertical="center"/>
    </xf>
    <xf numFmtId="164" fontId="12" fillId="2" borderId="18" xfId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164" fontId="12" fillId="2" borderId="8" xfId="1" applyFont="1" applyFill="1" applyBorder="1" applyAlignment="1">
      <alignment horizontal="right" vertical="center"/>
    </xf>
    <xf numFmtId="164" fontId="12" fillId="2" borderId="9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13" fillId="2" borderId="8" xfId="0" applyNumberFormat="1" applyFont="1" applyFill="1" applyBorder="1" applyAlignment="1">
      <alignment vertical="top" wrapText="1" readingOrder="1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14" fillId="2" borderId="8" xfId="0" applyFont="1" applyFill="1" applyBorder="1" applyAlignment="1">
      <alignment vertical="top" readingOrder="1"/>
    </xf>
    <xf numFmtId="0" fontId="15" fillId="2" borderId="8" xfId="0" applyFont="1" applyFill="1" applyBorder="1" applyAlignment="1">
      <alignment vertical="top" readingOrder="1"/>
    </xf>
    <xf numFmtId="0" fontId="4" fillId="2" borderId="8" xfId="0" applyFont="1" applyFill="1" applyBorder="1" applyAlignment="1">
      <alignment vertical="center"/>
    </xf>
    <xf numFmtId="43" fontId="12" fillId="2" borderId="8" xfId="1" applyNumberFormat="1" applyFont="1" applyFill="1" applyBorder="1" applyAlignment="1">
      <alignment horizontal="right" vertical="center"/>
    </xf>
    <xf numFmtId="164" fontId="12" fillId="2" borderId="8" xfId="1" applyFont="1" applyFill="1" applyBorder="1" applyAlignment="1">
      <alignment vertical="center"/>
    </xf>
    <xf numFmtId="164" fontId="12" fillId="2" borderId="9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164" fontId="16" fillId="2" borderId="8" xfId="1" applyFont="1" applyFill="1" applyBorder="1" applyAlignment="1">
      <alignment vertical="center"/>
    </xf>
    <xf numFmtId="43" fontId="16" fillId="2" borderId="8" xfId="0" applyNumberFormat="1" applyFont="1" applyFill="1" applyBorder="1"/>
    <xf numFmtId="4" fontId="17" fillId="2" borderId="8" xfId="0" applyNumberFormat="1" applyFont="1" applyFill="1" applyBorder="1" applyAlignment="1">
      <alignment horizontal="right" vertical="center" wrapText="1"/>
    </xf>
    <xf numFmtId="164" fontId="16" fillId="2" borderId="8" xfId="1" applyFont="1" applyFill="1" applyBorder="1" applyAlignment="1">
      <alignment horizontal="right" vertical="center"/>
    </xf>
    <xf numFmtId="164" fontId="12" fillId="2" borderId="14" xfId="1" applyFont="1" applyFill="1" applyBorder="1" applyAlignment="1">
      <alignment horizontal="right" vertical="center"/>
    </xf>
    <xf numFmtId="164" fontId="12" fillId="2" borderId="15" xfId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vertical="center"/>
    </xf>
    <xf numFmtId="164" fontId="6" fillId="2" borderId="0" xfId="1" applyFont="1" applyFill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3" fontId="5" fillId="2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5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5" xfId="1" applyNumberFormat="1" applyFont="1" applyFill="1" applyBorder="1" applyAlignment="1">
      <alignment vertical="center"/>
    </xf>
    <xf numFmtId="164" fontId="5" fillId="0" borderId="5" xfId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4" fontId="6" fillId="0" borderId="6" xfId="1" applyFont="1" applyFill="1" applyBorder="1" applyAlignment="1">
      <alignment horizontal="center" vertical="center" wrapText="1"/>
    </xf>
    <xf numFmtId="164" fontId="18" fillId="2" borderId="8" xfId="1" applyFont="1" applyFill="1" applyBorder="1" applyAlignment="1">
      <alignment vertical="center"/>
    </xf>
    <xf numFmtId="43" fontId="18" fillId="2" borderId="0" xfId="0" applyNumberFormat="1" applyFont="1" applyFill="1" applyBorder="1"/>
    <xf numFmtId="164" fontId="18" fillId="2" borderId="8" xfId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164" fontId="6" fillId="3" borderId="8" xfId="1" applyFont="1" applyFill="1" applyBorder="1" applyAlignment="1">
      <alignment horizontal="right" vertical="center"/>
    </xf>
    <xf numFmtId="164" fontId="6" fillId="3" borderId="22" xfId="1" applyFont="1" applyFill="1" applyBorder="1" applyAlignment="1">
      <alignment horizontal="right" vertical="center"/>
    </xf>
    <xf numFmtId="164" fontId="6" fillId="3" borderId="9" xfId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vertical="top" wrapText="1" readingOrder="1"/>
    </xf>
    <xf numFmtId="164" fontId="5" fillId="3" borderId="8" xfId="1" applyFont="1" applyFill="1" applyBorder="1" applyAlignment="1">
      <alignment horizontal="right" vertical="center"/>
    </xf>
    <xf numFmtId="164" fontId="5" fillId="3" borderId="9" xfId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vertical="top" readingOrder="1"/>
    </xf>
    <xf numFmtId="0" fontId="9" fillId="3" borderId="8" xfId="0" applyFont="1" applyFill="1" applyBorder="1" applyAlignment="1">
      <alignment vertical="top" readingOrder="1"/>
    </xf>
    <xf numFmtId="0" fontId="5" fillId="3" borderId="8" xfId="0" applyFont="1" applyFill="1" applyBorder="1" applyAlignment="1">
      <alignment vertical="center"/>
    </xf>
    <xf numFmtId="43" fontId="6" fillId="3" borderId="8" xfId="1" applyNumberFormat="1" applyFont="1" applyFill="1" applyBorder="1" applyAlignment="1">
      <alignment horizontal="right" vertical="center"/>
    </xf>
    <xf numFmtId="164" fontId="6" fillId="3" borderId="8" xfId="1" applyFont="1" applyFill="1" applyBorder="1" applyAlignment="1">
      <alignment vertical="center"/>
    </xf>
    <xf numFmtId="164" fontId="6" fillId="3" borderId="9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164" fontId="18" fillId="3" borderId="8" xfId="1" applyFont="1" applyFill="1" applyBorder="1" applyAlignment="1">
      <alignment vertical="center"/>
    </xf>
    <xf numFmtId="43" fontId="18" fillId="3" borderId="0" xfId="0" applyNumberFormat="1" applyFont="1" applyFill="1" applyBorder="1"/>
    <xf numFmtId="4" fontId="7" fillId="3" borderId="8" xfId="0" applyNumberFormat="1" applyFont="1" applyFill="1" applyBorder="1" applyAlignment="1">
      <alignment horizontal="right" vertical="center" wrapText="1"/>
    </xf>
    <xf numFmtId="164" fontId="18" fillId="3" borderId="8" xfId="1" applyFont="1" applyFill="1" applyBorder="1" applyAlignment="1">
      <alignment horizontal="right" vertical="center"/>
    </xf>
    <xf numFmtId="164" fontId="6" fillId="3" borderId="14" xfId="1" applyFont="1" applyFill="1" applyBorder="1" applyAlignment="1">
      <alignment horizontal="right" vertical="center"/>
    </xf>
    <xf numFmtId="164" fontId="6" fillId="3" borderId="15" xfId="1" applyFont="1" applyFill="1" applyBorder="1" applyAlignment="1">
      <alignment horizontal="right" vertical="center"/>
    </xf>
    <xf numFmtId="0" fontId="5" fillId="2" borderId="0" xfId="2" applyFont="1" applyFill="1" applyBorder="1"/>
    <xf numFmtId="165" fontId="5" fillId="2" borderId="0" xfId="2" applyNumberFormat="1" applyFont="1" applyFill="1" applyBorder="1"/>
    <xf numFmtId="39" fontId="5" fillId="2" borderId="0" xfId="2" applyNumberFormat="1" applyFont="1" applyFill="1" applyBorder="1"/>
    <xf numFmtId="4" fontId="5" fillId="2" borderId="0" xfId="2" applyNumberFormat="1" applyFont="1" applyFill="1" applyBorder="1"/>
    <xf numFmtId="164" fontId="5" fillId="2" borderId="0" xfId="1" applyFont="1" applyFill="1" applyBorder="1" applyAlignment="1">
      <alignment horizontal="center"/>
    </xf>
    <xf numFmtId="164" fontId="6" fillId="2" borderId="0" xfId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22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vertical="top"/>
    </xf>
    <xf numFmtId="164" fontId="5" fillId="2" borderId="11" xfId="1" applyFont="1" applyFill="1" applyBorder="1" applyAlignment="1">
      <alignment vertical="top"/>
    </xf>
    <xf numFmtId="164" fontId="6" fillId="2" borderId="11" xfId="1" applyFont="1" applyFill="1" applyBorder="1" applyAlignment="1">
      <alignment vertical="top"/>
    </xf>
    <xf numFmtId="164" fontId="5" fillId="2" borderId="0" xfId="1" applyFont="1" applyFill="1" applyBorder="1" applyAlignment="1">
      <alignment horizontal="left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43" fontId="6" fillId="2" borderId="0" xfId="0" applyNumberFormat="1" applyFont="1" applyFill="1" applyBorder="1" applyAlignment="1">
      <alignment horizontal="center" vertical="top"/>
    </xf>
    <xf numFmtId="164" fontId="6" fillId="2" borderId="0" xfId="1" applyFont="1" applyFill="1" applyBorder="1" applyAlignment="1">
      <alignment horizontal="center" vertical="top"/>
    </xf>
    <xf numFmtId="164" fontId="6" fillId="2" borderId="23" xfId="1" applyFont="1" applyFill="1" applyBorder="1" applyAlignment="1">
      <alignment horizontal="center" vertical="center"/>
    </xf>
    <xf numFmtId="0" fontId="5" fillId="2" borderId="4" xfId="0" applyFont="1" applyFill="1" applyBorder="1" applyAlignment="1"/>
    <xf numFmtId="164" fontId="5" fillId="2" borderId="4" xfId="1" applyFont="1" applyFill="1" applyBorder="1" applyAlignment="1">
      <alignment vertical="center"/>
    </xf>
    <xf numFmtId="0" fontId="5" fillId="2" borderId="4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</cellXfs>
  <cellStyles count="4">
    <cellStyle name="Millares" xfId="1" builtinId="3"/>
    <cellStyle name="Normal" xfId="0" builtinId="0"/>
    <cellStyle name="Normal 20" xfId="2"/>
    <cellStyle name="Normal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47" sqref="B47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2" t="s">
        <v>0</v>
      </c>
      <c r="B1" s="143"/>
      <c r="C1" s="143"/>
      <c r="D1" s="143"/>
      <c r="E1" s="143"/>
      <c r="F1" s="143"/>
      <c r="G1" s="144"/>
    </row>
    <row r="2" spans="1:7" ht="5.25" customHeight="1" x14ac:dyDescent="0.25">
      <c r="A2" s="145"/>
      <c r="B2" s="146"/>
      <c r="C2" s="146"/>
      <c r="D2" s="146"/>
      <c r="E2" s="146"/>
      <c r="F2" s="146"/>
      <c r="G2" s="147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49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C10+C24</f>
        <v>270945742666</v>
      </c>
      <c r="D9" s="1">
        <f>D10</f>
        <v>0</v>
      </c>
      <c r="E9" s="1">
        <f>C9-D9</f>
        <v>270945742666</v>
      </c>
      <c r="F9" s="1">
        <f>+F10+F24</f>
        <v>40899449227.380005</v>
      </c>
      <c r="G9" s="53">
        <f>E9-F9</f>
        <v>230046293438.62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39" si="0">C10-D10</f>
        <v>247773703966</v>
      </c>
      <c r="F10" s="1">
        <f>+F11</f>
        <v>23134037624</v>
      </c>
      <c r="G10" s="53">
        <f t="shared" ref="G10:G39" si="1">E10-F10</f>
        <v>224639666342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C12+C16</f>
        <v>247773703966</v>
      </c>
      <c r="D11" s="1">
        <f>D21</f>
        <v>0</v>
      </c>
      <c r="E11" s="1">
        <f t="shared" si="0"/>
        <v>247773703966</v>
      </c>
      <c r="F11" s="1">
        <f>F12+F16</f>
        <v>23134037624</v>
      </c>
      <c r="G11" s="53">
        <f t="shared" si="1"/>
        <v>224639666342</v>
      </c>
    </row>
    <row r="12" spans="1:7" s="11" customFormat="1" ht="18" customHeight="1" x14ac:dyDescent="0.25">
      <c r="A12" s="48">
        <v>3127</v>
      </c>
      <c r="B12" s="49" t="s">
        <v>15</v>
      </c>
      <c r="C12" s="1">
        <f>+C13</f>
        <v>38827000000</v>
      </c>
      <c r="D12" s="1">
        <v>0</v>
      </c>
      <c r="E12" s="1">
        <f t="shared" si="0"/>
        <v>38827000000</v>
      </c>
      <c r="F12" s="1">
        <f>F13</f>
        <v>53810280</v>
      </c>
      <c r="G12" s="53">
        <f t="shared" ref="G12:G18" si="2">E12-F12</f>
        <v>38773189720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F15</f>
        <v>53810280</v>
      </c>
      <c r="G13" s="53">
        <f t="shared" si="2"/>
        <v>38773189720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v>53810280</v>
      </c>
      <c r="G15" s="3">
        <f t="shared" si="2"/>
        <v>727189720</v>
      </c>
    </row>
    <row r="16" spans="1:7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 t="shared" ref="D16:F16" si="3">D17+D19</f>
        <v>0</v>
      </c>
      <c r="E16" s="1">
        <f t="shared" si="0"/>
        <v>208946703966</v>
      </c>
      <c r="F16" s="1">
        <f t="shared" si="3"/>
        <v>23080227344</v>
      </c>
      <c r="G16" s="53">
        <f t="shared" si="2"/>
        <v>185866476622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15816454689</v>
      </c>
      <c r="G17" s="53">
        <f t="shared" si="2"/>
        <v>186125249277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v>15816454689</v>
      </c>
      <c r="G18" s="3">
        <f t="shared" si="2"/>
        <v>186125249277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7263772655</v>
      </c>
      <c r="G19" s="53">
        <f t="shared" si="1"/>
        <v>-258772655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4845427</v>
      </c>
      <c r="G23" s="3">
        <f>E23-F23</f>
        <v>154573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17765411603.380001</v>
      </c>
      <c r="G24" s="53">
        <f>G25+G29+G31</f>
        <v>5406627096.6199999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4">D26+D27+D28</f>
        <v>0</v>
      </c>
      <c r="E25" s="55">
        <f t="shared" si="4"/>
        <v>5772038700</v>
      </c>
      <c r="F25" s="55">
        <f t="shared" si="4"/>
        <v>468322218.38</v>
      </c>
      <c r="G25" s="55">
        <f t="shared" si="4"/>
        <v>5303716481.6199999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v>4881153.79</v>
      </c>
      <c r="G26" s="3">
        <f t="shared" ref="G26:G30" si="5">E26-F26</f>
        <v>35118846.210000001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ref="E27" si="6">C27-D27</f>
        <v>5732038700</v>
      </c>
      <c r="F27" s="2">
        <v>0</v>
      </c>
      <c r="G27" s="3">
        <f t="shared" ref="G27" si="7">E27-F27</f>
        <v>5732038700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v>463441064.58999997</v>
      </c>
      <c r="G28" s="3">
        <f t="shared" si="5"/>
        <v>-463441064.58999997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5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5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19089385</v>
      </c>
      <c r="G31" s="53">
        <f t="shared" si="1"/>
        <v>-19089385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19089385</v>
      </c>
      <c r="G32" s="53">
        <f t="shared" si="1"/>
        <v>-19089385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19089385</v>
      </c>
      <c r="G33" s="53">
        <f t="shared" si="1"/>
        <v>-19089385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v>19089385</v>
      </c>
      <c r="G35" s="3">
        <f t="shared" si="1"/>
        <v>-19089385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f>+D37+D38+D39</f>
        <v>0</v>
      </c>
      <c r="E36" s="1">
        <f t="shared" si="0"/>
        <v>2225294901123</v>
      </c>
      <c r="F36" s="1">
        <f>F37+F38+F39</f>
        <v>0</v>
      </c>
      <c r="G36" s="53">
        <f t="shared" si="1"/>
        <v>2225294901123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 t="shared" si="0"/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0</v>
      </c>
      <c r="G38" s="3">
        <f t="shared" si="1"/>
        <v>666693528550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0</v>
      </c>
      <c r="E39" s="2">
        <f t="shared" si="0"/>
        <v>1556860292384</v>
      </c>
      <c r="F39" s="2">
        <v>0</v>
      </c>
      <c r="G39" s="3">
        <f t="shared" si="1"/>
        <v>1556860292384</v>
      </c>
      <c r="H39" s="7"/>
      <c r="I39" s="7"/>
    </row>
    <row r="40" spans="1:9" s="11" customFormat="1" ht="18" customHeight="1" thickBot="1" x14ac:dyDescent="0.3">
      <c r="A40" s="148" t="s">
        <v>36</v>
      </c>
      <c r="B40" s="149"/>
      <c r="C40" s="59">
        <f>+C9+C36</f>
        <v>2496240643789</v>
      </c>
      <c r="D40" s="59">
        <f>+D9+D36</f>
        <v>0</v>
      </c>
      <c r="E40" s="59">
        <f>E9+E36</f>
        <v>2496240643789</v>
      </c>
      <c r="F40" s="59">
        <f>+F9+F36</f>
        <v>40899449227.380005</v>
      </c>
      <c r="G40" s="60">
        <f>+G9+G36</f>
        <v>2455341194561.6201</v>
      </c>
      <c r="I40" s="13"/>
    </row>
    <row r="41" spans="1:9" ht="6.75" customHeight="1" x14ac:dyDescent="0.25">
      <c r="A41" s="92"/>
      <c r="B41" s="93"/>
      <c r="C41" s="93"/>
      <c r="D41" s="93"/>
      <c r="E41" s="93"/>
      <c r="F41" s="93"/>
      <c r="G41" s="94"/>
    </row>
    <row r="42" spans="1:9" ht="20.25" customHeight="1" x14ac:dyDescent="0.25">
      <c r="A42" s="92"/>
      <c r="B42" s="93"/>
      <c r="C42" s="93"/>
      <c r="D42" s="93"/>
      <c r="E42" s="95"/>
      <c r="F42" s="93"/>
      <c r="G42" s="94"/>
    </row>
    <row r="43" spans="1:9" ht="24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3.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8.7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20.100000000000001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zoomScaleNormal="100" workbookViewId="0">
      <selection activeCell="D48" sqref="D48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5.7109375" style="15" customWidth="1"/>
    <col min="4" max="4" width="23" style="15" customWidth="1"/>
    <col min="5" max="5" width="30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1" t="s">
        <v>0</v>
      </c>
      <c r="B1" s="162"/>
      <c r="C1" s="162"/>
      <c r="D1" s="162"/>
      <c r="E1" s="162"/>
      <c r="F1" s="162"/>
      <c r="G1" s="163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71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203444537018.37</v>
      </c>
      <c r="G7" s="112">
        <f>G8+G24</f>
        <v>67501205647.630005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173950175312.13</v>
      </c>
      <c r="G8" s="113">
        <f t="shared" si="0"/>
        <v>73823528653.87001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173950175312.13</v>
      </c>
      <c r="G9" s="113">
        <f>G10+G16</f>
        <v>73823528653.87001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8225468710.4400005</v>
      </c>
      <c r="G10" s="113">
        <f>+G11+G14</f>
        <v>30601531289.560001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8093207186.4400005</v>
      </c>
      <c r="G11" s="113">
        <f>SUM(G12:G13)</f>
        <v>30733792813.560001</v>
      </c>
    </row>
    <row r="12" spans="1:9" s="11" customFormat="1" ht="14.25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4.25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f>553987977.44+110062260+88875230</f>
        <v>752925467.44000006</v>
      </c>
      <c r="G13" s="117">
        <f>E13-F13</f>
        <v>28074532.559999943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132261524</v>
      </c>
      <c r="G14" s="117">
        <f>E14-F14</f>
        <v>-132261524</v>
      </c>
    </row>
    <row r="15" spans="1:9" ht="15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f>125344034+3458745+3458745</f>
        <v>132261524</v>
      </c>
      <c r="G15" s="117">
        <f>E15-F15</f>
        <v>-132261524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165724706601.69</v>
      </c>
      <c r="G16" s="113">
        <f>+G17+G19</f>
        <v>43221997364.310005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147371534068.37</v>
      </c>
      <c r="G17" s="113">
        <f>+G18</f>
        <v>54570169897.630005</v>
      </c>
      <c r="I17" s="12"/>
    </row>
    <row r="18" spans="1:9" ht="13.5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f>117376162999.37+15933822800+14061548269</f>
        <v>147371534068.37</v>
      </c>
      <c r="G18" s="117">
        <f t="shared" ref="G18:G23" si="2">E18-F18</f>
        <v>54570169897.630005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 t="shared" si="1"/>
        <v>7005000000</v>
      </c>
      <c r="F19" s="121">
        <f>F20+F21+F22+F23</f>
        <v>18353172533.32</v>
      </c>
      <c r="G19" s="117">
        <f t="shared" si="2"/>
        <v>-11348172533.32</v>
      </c>
    </row>
    <row r="20" spans="1:9" ht="15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 t="shared" si="2"/>
        <v>-11265619693.139999</v>
      </c>
    </row>
    <row r="21" spans="1:9" ht="15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f>1567139+10957069.66</f>
        <v>12524208.66</v>
      </c>
      <c r="G21" s="117">
        <f t="shared" si="2"/>
        <v>-12524208.66</v>
      </c>
    </row>
    <row r="22" spans="1:9" ht="15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 t="shared" si="2"/>
        <v>-66900000</v>
      </c>
    </row>
    <row r="23" spans="1:9" ht="15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f>5972716.52+762215+1393700</f>
        <v>8128631.5199999996</v>
      </c>
      <c r="G23" s="117">
        <f t="shared" si="2"/>
        <v>-3128631.5199999996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29494361706.240002</v>
      </c>
      <c r="G24" s="113">
        <f t="shared" ref="G24:G32" si="3">+E24-F24</f>
        <v>-6322323006.2400017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11886894257.76</v>
      </c>
      <c r="G25" s="123">
        <f>G26+G27+G28</f>
        <v>-6114855557.7599993</v>
      </c>
    </row>
    <row r="26" spans="1:9" ht="15.75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f>25617011.7+2559266.09+2356465.15</f>
        <v>30532742.939999998</v>
      </c>
      <c r="G26" s="117">
        <f>E26-F26</f>
        <v>9467257.0600000024</v>
      </c>
      <c r="H26" s="7"/>
    </row>
    <row r="27" spans="1:9" ht="15.75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f>11276395194.61+8565993.71+105617869.41</f>
        <v>11390579057.73</v>
      </c>
      <c r="G27" s="117">
        <f>E27-F27</f>
        <v>-5658540357.7299995</v>
      </c>
    </row>
    <row r="28" spans="1:9" ht="15.75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 t="shared" si="1"/>
        <v>17400000000</v>
      </c>
      <c r="F29" s="111">
        <f>F30</f>
        <v>17278000000</v>
      </c>
      <c r="G29" s="117">
        <f>E29-F29</f>
        <v>122000000</v>
      </c>
    </row>
    <row r="30" spans="1:9" ht="14.25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3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 t="shared" si="1"/>
        <v>0</v>
      </c>
      <c r="F33" s="111">
        <f>F34+F35+F36</f>
        <v>329467448.48000002</v>
      </c>
      <c r="G33" s="113">
        <f>G34+G35+G36</f>
        <v>-329467448.48000002</v>
      </c>
    </row>
    <row r="34" spans="1:9" ht="26.2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 t="shared" ref="G34:G40" si="4">E34-F34</f>
        <v>-238769608.69999999</v>
      </c>
    </row>
    <row r="35" spans="1:9" ht="24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 t="shared" si="4"/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 t="shared" si="4"/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501608685925.65997</v>
      </c>
      <c r="G37" s="113">
        <f t="shared" si="4"/>
        <v>1384686215197.3401</v>
      </c>
      <c r="H37" s="12"/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 t="shared" si="4"/>
        <v>541080189</v>
      </c>
      <c r="H38" s="7"/>
      <c r="I38" s="133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 t="shared" si="4"/>
        <v>169379645549.25</v>
      </c>
      <c r="H39" s="7"/>
      <c r="I39" s="132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v>3094802924.9099998</v>
      </c>
      <c r="G40" s="117">
        <f t="shared" si="4"/>
        <v>1214765489459.0901</v>
      </c>
      <c r="H40" s="7"/>
      <c r="I40" s="132"/>
    </row>
    <row r="41" spans="1:9" s="11" customFormat="1" ht="18" customHeight="1" thickBot="1" x14ac:dyDescent="0.3">
      <c r="A41" s="164" t="s">
        <v>36</v>
      </c>
      <c r="B41" s="165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705053222944.03003</v>
      </c>
      <c r="G41" s="131">
        <f>G7+G37</f>
        <v>1452187420844.9702</v>
      </c>
      <c r="H41" s="12"/>
      <c r="I41" s="132"/>
    </row>
    <row r="42" spans="1:9" ht="42" customHeight="1" x14ac:dyDescent="0.25">
      <c r="A42" s="150" t="s">
        <v>69</v>
      </c>
      <c r="B42" s="151"/>
      <c r="C42" s="151"/>
      <c r="D42" s="151"/>
      <c r="E42" s="151"/>
      <c r="F42" s="151"/>
      <c r="G42" s="152"/>
      <c r="I42" s="132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 t="s">
        <v>74</v>
      </c>
      <c r="B44" s="17"/>
      <c r="C44" s="18"/>
      <c r="E44" s="18"/>
      <c r="G44" s="19"/>
      <c r="H44" s="14"/>
      <c r="I44" s="132"/>
    </row>
    <row r="45" spans="1:9" s="34" customFormat="1" ht="14.25" customHeight="1" x14ac:dyDescent="0.25">
      <c r="A45" s="28" t="s">
        <v>72</v>
      </c>
      <c r="B45" s="29"/>
      <c r="C45" s="166"/>
      <c r="D45" s="166"/>
      <c r="E45" s="31"/>
      <c r="F45" s="30"/>
      <c r="G45" s="32"/>
      <c r="H45" s="33"/>
      <c r="I45" s="132"/>
    </row>
    <row r="46" spans="1:9" s="30" customFormat="1" ht="14.25" customHeight="1" x14ac:dyDescent="0.25">
      <c r="A46" s="28" t="s">
        <v>73</v>
      </c>
      <c r="B46" s="138" t="s">
        <v>75</v>
      </c>
      <c r="C46" s="31"/>
      <c r="D46" s="137" t="s">
        <v>80</v>
      </c>
      <c r="E46" s="31"/>
      <c r="F46" s="136" t="s">
        <v>81</v>
      </c>
      <c r="G46" s="32"/>
      <c r="I46" s="132"/>
    </row>
    <row r="47" spans="1:9" ht="16.5" customHeight="1" x14ac:dyDescent="0.25">
      <c r="A47" s="16"/>
      <c r="B47" s="139" t="s">
        <v>46</v>
      </c>
      <c r="C47" s="88"/>
      <c r="D47" s="140" t="s">
        <v>76</v>
      </c>
      <c r="F47" s="140" t="s">
        <v>40</v>
      </c>
      <c r="G47" s="19"/>
      <c r="I47" s="134"/>
    </row>
    <row r="48" spans="1:9" s="15" customFormat="1" ht="20.25" customHeight="1" x14ac:dyDescent="0.25">
      <c r="A48" s="16" t="s">
        <v>79</v>
      </c>
      <c r="B48" s="139" t="s">
        <v>48</v>
      </c>
      <c r="D48" s="140" t="s">
        <v>78</v>
      </c>
      <c r="F48" s="140" t="s">
        <v>42</v>
      </c>
      <c r="G48" s="19"/>
      <c r="I48" s="132"/>
    </row>
    <row r="49" spans="1:9" s="15" customFormat="1" ht="16.5" customHeight="1" x14ac:dyDescent="0.25">
      <c r="A49" s="20" t="s">
        <v>73</v>
      </c>
      <c r="B49" s="26"/>
      <c r="C49" s="35"/>
      <c r="D49" s="27"/>
      <c r="E49" s="36"/>
      <c r="G49" s="19"/>
      <c r="I49" s="132"/>
    </row>
    <row r="50" spans="1:9" s="15" customFormat="1" ht="12.75" customHeight="1" x14ac:dyDescent="0.25">
      <c r="A50" s="20" t="s">
        <v>77</v>
      </c>
      <c r="B50" s="26"/>
      <c r="C50" s="37"/>
      <c r="D50" s="27"/>
      <c r="E50" s="36"/>
      <c r="G50" s="19"/>
      <c r="I50" s="132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35"/>
    </row>
  </sheetData>
  <mergeCells count="4">
    <mergeCell ref="A1:G1"/>
    <mergeCell ref="A41:B41"/>
    <mergeCell ref="A42:G42"/>
    <mergeCell ref="C45:D45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abSelected="1" topLeftCell="A40" zoomScaleNormal="100" workbookViewId="0">
      <selection activeCell="H9" sqref="H9"/>
    </sheetView>
  </sheetViews>
  <sheetFormatPr baseColWidth="10" defaultColWidth="11.42578125" defaultRowHeight="20.100000000000001" customHeight="1" x14ac:dyDescent="0.25"/>
  <cols>
    <col min="1" max="1" width="11.42578125" style="8" customWidth="1"/>
    <col min="2" max="2" width="52.7109375" style="8" customWidth="1"/>
    <col min="3" max="3" width="25.7109375" style="15" customWidth="1"/>
    <col min="4" max="4" width="23" style="15" customWidth="1"/>
    <col min="5" max="5" width="21.42578125" style="15" customWidth="1"/>
    <col min="6" max="6" width="24.42578125" style="15" customWidth="1"/>
    <col min="7" max="7" width="23.2851562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1" t="s">
        <v>0</v>
      </c>
      <c r="B1" s="162"/>
      <c r="C1" s="162"/>
      <c r="D1" s="162"/>
      <c r="E1" s="162"/>
      <c r="F1" s="162"/>
      <c r="G1" s="163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82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217477256672.60001</v>
      </c>
      <c r="G7" s="141">
        <f>G8+G24</f>
        <v>53468485993.400009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G8" si="0">+D9</f>
        <v>0</v>
      </c>
      <c r="E8" s="1">
        <f t="shared" si="0"/>
        <v>247773703966</v>
      </c>
      <c r="F8" s="1">
        <f t="shared" si="0"/>
        <v>187669635707.13</v>
      </c>
      <c r="G8" s="53">
        <f t="shared" si="0"/>
        <v>60104068258.87001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187669635707.13</v>
      </c>
      <c r="G9" s="53">
        <f>G10+G16</f>
        <v>60104068258.87001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8317143776.4400005</v>
      </c>
      <c r="G10" s="53">
        <f>+G11+G14</f>
        <v>30509856223.560001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8181423507.4400005</v>
      </c>
      <c r="G11" s="53">
        <f>SUM(G12:G13)</f>
        <v>30645576492.560001</v>
      </c>
    </row>
    <row r="12" spans="1:9" s="11" customFormat="1" ht="14.25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>E12-F12</f>
        <v>30705718281</v>
      </c>
      <c r="H12" s="12"/>
      <c r="I12" s="12"/>
    </row>
    <row r="13" spans="1:9" ht="14.25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553987977.44+110062260+88875230+88216321</f>
        <v>841141788.44000006</v>
      </c>
      <c r="G13" s="3">
        <f>E13-F13</f>
        <v>-60141788.440000057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1">+C14+D14</f>
        <v>0</v>
      </c>
      <c r="F14" s="1">
        <f>F15</f>
        <v>135720269</v>
      </c>
      <c r="G14" s="3">
        <f>E14-F14</f>
        <v>-135720269</v>
      </c>
    </row>
    <row r="15" spans="1:9" ht="15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1"/>
        <v>0</v>
      </c>
      <c r="F15" s="2">
        <f>125344034+3458745+3458745+3458745</f>
        <v>135720269</v>
      </c>
      <c r="G15" s="3">
        <f>E15-F15</f>
        <v>-135720269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179352491930.69</v>
      </c>
      <c r="G16" s="53">
        <f>+G17+G19</f>
        <v>29594212035.310005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160998569168.37</v>
      </c>
      <c r="G17" s="53">
        <f>+G18</f>
        <v>40943134797.630005</v>
      </c>
      <c r="I17" s="12"/>
    </row>
    <row r="18" spans="1:9" ht="13.5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1"/>
        <v>201941703966</v>
      </c>
      <c r="F18" s="2">
        <f>117376162999.37+15933822800+14061548269+13627035100</f>
        <v>160998569168.37</v>
      </c>
      <c r="G18" s="3">
        <f t="shared" ref="G18:G23" si="2">E18-F18</f>
        <v>40943134797.630005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1"/>
        <v>7005000000</v>
      </c>
      <c r="F19" s="54">
        <f>F20+F21+F22+F23</f>
        <v>18353922762.32</v>
      </c>
      <c r="G19" s="3">
        <f t="shared" si="2"/>
        <v>-11348922762.32</v>
      </c>
    </row>
    <row r="20" spans="1:9" ht="15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1"/>
        <v>7000000000</v>
      </c>
      <c r="F20" s="2">
        <v>18265619693.139999</v>
      </c>
      <c r="G20" s="3">
        <f t="shared" si="2"/>
        <v>-11265619693.139999</v>
      </c>
    </row>
    <row r="21" spans="1:9" ht="15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1"/>
        <v>0</v>
      </c>
      <c r="F21" s="2">
        <f>1567139+10957069.66</f>
        <v>12524208.66</v>
      </c>
      <c r="G21" s="3">
        <f t="shared" si="2"/>
        <v>-12524208.66</v>
      </c>
    </row>
    <row r="22" spans="1:9" ht="15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1"/>
        <v>0</v>
      </c>
      <c r="F22" s="2">
        <v>66900000</v>
      </c>
      <c r="G22" s="3">
        <f t="shared" si="2"/>
        <v>-66900000</v>
      </c>
    </row>
    <row r="23" spans="1:9" ht="15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1"/>
        <v>5000000</v>
      </c>
      <c r="F23" s="2">
        <f>5972716.52+762215+1393700+750229</f>
        <v>8878860.5199999996</v>
      </c>
      <c r="G23" s="3">
        <f t="shared" si="2"/>
        <v>-3878860.5199999996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C25+C29+C32</f>
        <v>23172038700</v>
      </c>
      <c r="D24" s="1">
        <f>-D25-D29</f>
        <v>0</v>
      </c>
      <c r="E24" s="1">
        <f>E25+E29+E32</f>
        <v>23172038700</v>
      </c>
      <c r="F24" s="1">
        <f>F25+F29+F32</f>
        <v>29807620965.469997</v>
      </c>
      <c r="G24" s="53">
        <f t="shared" ref="G24:G32" si="3">+E24-F24</f>
        <v>-6635582265.4699974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12195713742.99</v>
      </c>
      <c r="G25" s="56">
        <f>G26+G27+G28</f>
        <v>-6423675042.9899988</v>
      </c>
    </row>
    <row r="26" spans="1:9" ht="15.75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1"/>
        <v>40000000</v>
      </c>
      <c r="F26" s="2">
        <f>25617011.7+2559266.09+2356465.15+4390813.68</f>
        <v>34923556.619999997</v>
      </c>
      <c r="G26" s="3">
        <f>E26-F26</f>
        <v>5076443.3800000027</v>
      </c>
      <c r="H26" s="7"/>
    </row>
    <row r="27" spans="1:9" ht="15.75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1"/>
        <v>5732038700</v>
      </c>
      <c r="F27" s="2">
        <f>11276395194.61+8565993.71+105617869.41+304428671.55</f>
        <v>11695007729.279999</v>
      </c>
      <c r="G27" s="3">
        <f>E27-F27</f>
        <v>-5962969029.2799988</v>
      </c>
    </row>
    <row r="28" spans="1:9" ht="15.75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1"/>
        <v>0</v>
      </c>
      <c r="F28" s="2">
        <v>465782457.08999997</v>
      </c>
      <c r="G28" s="3">
        <f>E28-F28</f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 t="shared" si="1"/>
        <v>17400000000</v>
      </c>
      <c r="F29" s="1">
        <f>F30</f>
        <v>17278000000</v>
      </c>
      <c r="G29" s="3">
        <f>E29-F29</f>
        <v>122000000</v>
      </c>
    </row>
    <row r="30" spans="1:9" ht="14.25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1"/>
        <v>17400000000</v>
      </c>
      <c r="F30" s="2">
        <v>17278000000</v>
      </c>
      <c r="G30" s="3">
        <f>E30-F30</f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1"/>
        <v>0</v>
      </c>
      <c r="F31" s="1">
        <f>F32</f>
        <v>333907222.48000002</v>
      </c>
      <c r="G31" s="53">
        <f>+E31-F31</f>
        <v>-333907222.48000002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1"/>
        <v>0</v>
      </c>
      <c r="F32" s="1">
        <f>F33</f>
        <v>333907222.48000002</v>
      </c>
      <c r="G32" s="53">
        <f t="shared" si="3"/>
        <v>-333907222.48000002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1"/>
        <v>0</v>
      </c>
      <c r="F33" s="1">
        <f>F34+F35+F36</f>
        <v>333907222.48000002</v>
      </c>
      <c r="G33" s="53">
        <f>G34+G35+G36</f>
        <v>-333907222.48000002</v>
      </c>
    </row>
    <row r="34" spans="1:9" ht="28.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1"/>
        <v>0</v>
      </c>
      <c r="F34" s="2">
        <f>238769608.7+4439774</f>
        <v>243209382.69999999</v>
      </c>
      <c r="G34" s="3">
        <f t="shared" ref="G34:G40" si="4">E34-F34</f>
        <v>-243209382.69999999</v>
      </c>
    </row>
    <row r="35" spans="1:9" ht="30" customHeight="1" x14ac:dyDescent="0.25">
      <c r="A35" s="4">
        <v>325511</v>
      </c>
      <c r="B35" s="57" t="s">
        <v>63</v>
      </c>
      <c r="C35" s="2">
        <v>0</v>
      </c>
      <c r="D35" s="2">
        <v>0</v>
      </c>
      <c r="E35" s="1">
        <f t="shared" si="1"/>
        <v>0</v>
      </c>
      <c r="F35" s="2">
        <v>7215972.7800000003</v>
      </c>
      <c r="G35" s="3">
        <f t="shared" si="4"/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v>83481867</v>
      </c>
      <c r="G36" s="3">
        <f t="shared" si="4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501854214124.35999</v>
      </c>
      <c r="G37" s="53">
        <f t="shared" si="4"/>
        <v>1384440686998.6401</v>
      </c>
      <c r="H37" s="12"/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1"/>
        <v>1741080189</v>
      </c>
      <c r="F38" s="106">
        <v>1200000000</v>
      </c>
      <c r="G38" s="3">
        <f t="shared" si="4"/>
        <v>541080189</v>
      </c>
      <c r="H38" s="7"/>
      <c r="I38" s="133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1"/>
        <v>666693528550</v>
      </c>
      <c r="F39" s="107">
        <v>497313883000.75</v>
      </c>
      <c r="G39" s="3">
        <f t="shared" si="4"/>
        <v>169379645549.25</v>
      </c>
      <c r="H39" s="7"/>
      <c r="I39" s="132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108">
        <v>3340331123.6100001</v>
      </c>
      <c r="G40" s="3">
        <f t="shared" si="4"/>
        <v>1214519961260.3899</v>
      </c>
      <c r="H40" s="7"/>
      <c r="I40" s="132"/>
    </row>
    <row r="41" spans="1:9" s="11" customFormat="1" ht="18" customHeight="1" thickBot="1" x14ac:dyDescent="0.3">
      <c r="A41" s="148" t="s">
        <v>36</v>
      </c>
      <c r="B41" s="149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719331470796.95996</v>
      </c>
      <c r="G41" s="60">
        <f>G7+G37</f>
        <v>1437909172992.04</v>
      </c>
      <c r="H41" s="12"/>
      <c r="I41" s="132"/>
    </row>
    <row r="42" spans="1:9" ht="42" customHeight="1" x14ac:dyDescent="0.25">
      <c r="A42" s="150" t="s">
        <v>69</v>
      </c>
      <c r="B42" s="151"/>
      <c r="C42" s="151"/>
      <c r="D42" s="151"/>
      <c r="E42" s="151"/>
      <c r="F42" s="151"/>
      <c r="G42" s="152"/>
      <c r="I42" s="132"/>
    </row>
    <row r="43" spans="1:9" ht="16.5" customHeight="1" x14ac:dyDescent="0.25">
      <c r="A43" s="167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/>
      <c r="B44" s="168"/>
      <c r="C44" s="18"/>
      <c r="E44" s="18"/>
      <c r="G44" s="19"/>
      <c r="H44" s="14"/>
      <c r="I44" s="132"/>
    </row>
    <row r="45" spans="1:9" s="34" customFormat="1" ht="14.25" customHeight="1" x14ac:dyDescent="0.25">
      <c r="A45" s="16"/>
      <c r="B45" s="173" t="s">
        <v>83</v>
      </c>
      <c r="C45" s="15"/>
      <c r="D45" s="177" t="s">
        <v>40</v>
      </c>
      <c r="E45" s="177"/>
      <c r="F45" s="172"/>
      <c r="G45" s="32"/>
      <c r="H45" s="33"/>
      <c r="I45" s="132"/>
    </row>
    <row r="46" spans="1:9" s="30" customFormat="1" ht="14.25" customHeight="1" x14ac:dyDescent="0.25">
      <c r="A46" s="178" t="s">
        <v>84</v>
      </c>
      <c r="B46" s="174" t="s">
        <v>85</v>
      </c>
      <c r="C46" s="172"/>
      <c r="D46" s="166" t="s">
        <v>42</v>
      </c>
      <c r="E46" s="166"/>
      <c r="F46" s="172"/>
      <c r="G46" s="32"/>
      <c r="I46" s="132"/>
    </row>
    <row r="47" spans="1:9" ht="26.25" customHeight="1" x14ac:dyDescent="0.25">
      <c r="A47" s="178"/>
      <c r="B47" s="30"/>
      <c r="C47" s="172"/>
      <c r="E47" s="30"/>
      <c r="F47" s="140"/>
      <c r="G47" s="19"/>
      <c r="I47" s="134"/>
    </row>
    <row r="48" spans="1:9" s="15" customFormat="1" ht="20.25" customHeight="1" x14ac:dyDescent="0.25">
      <c r="A48" s="179"/>
      <c r="B48" s="8"/>
      <c r="C48" s="8" t="s">
        <v>84</v>
      </c>
      <c r="D48" s="8"/>
      <c r="F48" s="138"/>
      <c r="G48" s="19"/>
      <c r="I48" s="132"/>
    </row>
    <row r="49" spans="1:9" s="15" customFormat="1" ht="16.5" customHeight="1" x14ac:dyDescent="0.25">
      <c r="A49" s="16" t="s">
        <v>84</v>
      </c>
      <c r="B49" s="173" t="s">
        <v>86</v>
      </c>
      <c r="C49" s="15" t="s">
        <v>87</v>
      </c>
      <c r="D49" s="177" t="s">
        <v>46</v>
      </c>
      <c r="E49" s="177"/>
      <c r="F49" s="138"/>
      <c r="G49" s="19"/>
      <c r="I49" s="132"/>
    </row>
    <row r="50" spans="1:9" s="15" customFormat="1" ht="12.75" customHeight="1" x14ac:dyDescent="0.25">
      <c r="A50" s="180"/>
      <c r="B50" s="175" t="s">
        <v>88</v>
      </c>
      <c r="C50" s="27"/>
      <c r="D50" s="176" t="s">
        <v>48</v>
      </c>
      <c r="E50" s="176"/>
      <c r="G50" s="19"/>
      <c r="I50" s="132"/>
    </row>
    <row r="51" spans="1:9" ht="18" customHeight="1" thickBot="1" x14ac:dyDescent="0.3">
      <c r="A51" s="181"/>
      <c r="B51" s="169"/>
      <c r="C51" s="170"/>
      <c r="D51" s="171"/>
      <c r="E51" s="24"/>
      <c r="F51" s="24"/>
      <c r="G51" s="25"/>
      <c r="I51" s="135"/>
    </row>
  </sheetData>
  <mergeCells count="7">
    <mergeCell ref="D50:E50"/>
    <mergeCell ref="D45:E45"/>
    <mergeCell ref="D46:E46"/>
    <mergeCell ref="D49:E49"/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sqref="A1:XFD104857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2" t="s">
        <v>0</v>
      </c>
      <c r="B1" s="143"/>
      <c r="C1" s="143"/>
      <c r="D1" s="143"/>
      <c r="E1" s="143"/>
      <c r="F1" s="143"/>
      <c r="G1" s="144"/>
    </row>
    <row r="2" spans="1:7" ht="5.25" customHeight="1" x14ac:dyDescent="0.25">
      <c r="A2" s="145"/>
      <c r="B2" s="146"/>
      <c r="C2" s="146"/>
      <c r="D2" s="146"/>
      <c r="E2" s="146"/>
      <c r="F2" s="146"/>
      <c r="G2" s="147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57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C10+C26</f>
        <v>270945742666</v>
      </c>
      <c r="D9" s="1">
        <f>D10</f>
        <v>0</v>
      </c>
      <c r="E9" s="1">
        <f>C9-D9</f>
        <v>270945742666</v>
      </c>
      <c r="F9" s="1">
        <f>+F10+F26</f>
        <v>55909102535.970001</v>
      </c>
      <c r="G9" s="53">
        <f>E9-F9</f>
        <v>215036640130.03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41" si="0">C10-D10</f>
        <v>247773703966</v>
      </c>
      <c r="F10" s="1">
        <f>+F11</f>
        <v>37935803595.440002</v>
      </c>
      <c r="G10" s="53">
        <f t="shared" ref="G10:G41" si="1">E10-F10</f>
        <v>209837900370.56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C12+C18</f>
        <v>247773703966</v>
      </c>
      <c r="D11" s="1">
        <f>D23</f>
        <v>0</v>
      </c>
      <c r="E11" s="1">
        <f t="shared" si="0"/>
        <v>247773703966</v>
      </c>
      <c r="F11" s="1">
        <f>F12+F18</f>
        <v>37935803595.440002</v>
      </c>
      <c r="G11" s="53">
        <f t="shared" si="1"/>
        <v>209837900370.56</v>
      </c>
    </row>
    <row r="12" spans="1:7" s="11" customFormat="1" ht="18" customHeight="1" x14ac:dyDescent="0.25">
      <c r="A12" s="48">
        <v>3127</v>
      </c>
      <c r="B12" s="49" t="s">
        <v>15</v>
      </c>
      <c r="C12" s="1">
        <v>38827000000</v>
      </c>
      <c r="D12" s="1">
        <v>0</v>
      </c>
      <c r="E12" s="1">
        <f t="shared" si="0"/>
        <v>38827000000</v>
      </c>
      <c r="F12" s="1">
        <f>F13+F16</f>
        <v>112273037.44</v>
      </c>
      <c r="G12" s="53">
        <f t="shared" si="1"/>
        <v>38714726962.559998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F14+F15</f>
        <v>104169458.44</v>
      </c>
      <c r="G13" s="53">
        <f t="shared" si="1"/>
        <v>38722830541.559998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f>53810280+50359178.44</f>
        <v>104169458.44</v>
      </c>
      <c r="G15" s="3">
        <f t="shared" si="1"/>
        <v>676830541.55999994</v>
      </c>
    </row>
    <row r="16" spans="1:7" ht="18" customHeight="1" x14ac:dyDescent="0.25">
      <c r="A16" s="4">
        <v>31272</v>
      </c>
      <c r="B16" s="52" t="s">
        <v>58</v>
      </c>
      <c r="C16" s="2">
        <v>0</v>
      </c>
      <c r="D16" s="2">
        <v>0</v>
      </c>
      <c r="E16" s="2">
        <f>C16-D16</f>
        <v>0</v>
      </c>
      <c r="F16" s="1">
        <f>F17</f>
        <v>8103579</v>
      </c>
      <c r="G16" s="53">
        <f>G17</f>
        <v>-8103579</v>
      </c>
    </row>
    <row r="17" spans="1:9" ht="18" customHeight="1" x14ac:dyDescent="0.25">
      <c r="A17" s="4">
        <v>312721</v>
      </c>
      <c r="B17" s="51" t="s">
        <v>58</v>
      </c>
      <c r="C17" s="2">
        <v>0</v>
      </c>
      <c r="D17" s="2">
        <v>0</v>
      </c>
      <c r="E17" s="2">
        <f>C17-D17</f>
        <v>0</v>
      </c>
      <c r="F17" s="2">
        <v>8103579</v>
      </c>
      <c r="G17" s="3">
        <f>E17-F17</f>
        <v>-8103579</v>
      </c>
    </row>
    <row r="18" spans="1:9" s="11" customFormat="1" ht="18" customHeight="1" x14ac:dyDescent="0.25">
      <c r="A18" s="48">
        <v>3128</v>
      </c>
      <c r="B18" s="49" t="s">
        <v>18</v>
      </c>
      <c r="C18" s="1">
        <v>208946703966</v>
      </c>
      <c r="D18" s="1">
        <f t="shared" ref="D18:F18" si="2">D19+D21</f>
        <v>0</v>
      </c>
      <c r="E18" s="1">
        <f t="shared" si="0"/>
        <v>208946703966</v>
      </c>
      <c r="F18" s="1">
        <f t="shared" si="2"/>
        <v>37823530558</v>
      </c>
      <c r="G18" s="53">
        <f t="shared" si="1"/>
        <v>171123173408</v>
      </c>
    </row>
    <row r="19" spans="1:9" s="11" customFormat="1" ht="18" customHeight="1" x14ac:dyDescent="0.25">
      <c r="A19" s="48">
        <v>31281</v>
      </c>
      <c r="B19" s="49" t="s">
        <v>19</v>
      </c>
      <c r="C19" s="1">
        <f>C20</f>
        <v>201941703966</v>
      </c>
      <c r="D19" s="1">
        <v>0</v>
      </c>
      <c r="E19" s="1">
        <f t="shared" si="0"/>
        <v>201941703966</v>
      </c>
      <c r="F19" s="1">
        <f>F20</f>
        <v>30561703220</v>
      </c>
      <c r="G19" s="53">
        <f t="shared" si="1"/>
        <v>171380000746</v>
      </c>
      <c r="I19" s="12"/>
    </row>
    <row r="20" spans="1:9" ht="18" customHeight="1" x14ac:dyDescent="0.25">
      <c r="A20" s="4">
        <v>312811</v>
      </c>
      <c r="B20" s="5" t="s">
        <v>20</v>
      </c>
      <c r="C20" s="2">
        <v>201941703966</v>
      </c>
      <c r="D20" s="2"/>
      <c r="E20" s="2">
        <f t="shared" si="0"/>
        <v>201941703966</v>
      </c>
      <c r="F20" s="2">
        <f>15816454689+14745248531</f>
        <v>30561703220</v>
      </c>
      <c r="G20" s="3">
        <f t="shared" si="1"/>
        <v>171380000746</v>
      </c>
      <c r="I20" s="7"/>
    </row>
    <row r="21" spans="1:9" s="11" customFormat="1" ht="18" customHeight="1" x14ac:dyDescent="0.25">
      <c r="A21" s="48">
        <v>31282</v>
      </c>
      <c r="B21" s="49" t="s">
        <v>21</v>
      </c>
      <c r="C21" s="1">
        <f>C22+C25</f>
        <v>7005000000</v>
      </c>
      <c r="D21" s="1">
        <f>D23</f>
        <v>0</v>
      </c>
      <c r="E21" s="1">
        <f t="shared" si="0"/>
        <v>7005000000</v>
      </c>
      <c r="F21" s="1">
        <f>F22+F23+F24+F25</f>
        <v>7261827338</v>
      </c>
      <c r="G21" s="53">
        <f t="shared" si="1"/>
        <v>-256827338</v>
      </c>
    </row>
    <row r="22" spans="1:9" ht="18" customHeight="1" x14ac:dyDescent="0.25">
      <c r="A22" s="4">
        <v>312821</v>
      </c>
      <c r="B22" s="5" t="s">
        <v>22</v>
      </c>
      <c r="C22" s="2">
        <v>7000000000</v>
      </c>
      <c r="D22" s="2">
        <v>0</v>
      </c>
      <c r="E22" s="2">
        <f t="shared" si="0"/>
        <v>7000000000</v>
      </c>
      <c r="F22" s="2">
        <v>7192027228</v>
      </c>
      <c r="G22" s="3">
        <f>E22-F22</f>
        <v>-192027228</v>
      </c>
    </row>
    <row r="23" spans="1:9" ht="18" customHeight="1" x14ac:dyDescent="0.25">
      <c r="A23" s="4">
        <v>312822</v>
      </c>
      <c r="B23" s="5" t="s">
        <v>23</v>
      </c>
      <c r="C23" s="2">
        <v>0</v>
      </c>
      <c r="D23" s="2">
        <v>0</v>
      </c>
      <c r="E23" s="1">
        <f t="shared" si="0"/>
        <v>0</v>
      </c>
      <c r="F23" s="2">
        <v>0</v>
      </c>
      <c r="G23" s="3">
        <f t="shared" si="1"/>
        <v>0</v>
      </c>
    </row>
    <row r="24" spans="1:9" ht="18" customHeight="1" x14ac:dyDescent="0.25">
      <c r="A24" s="4">
        <v>312823</v>
      </c>
      <c r="B24" s="5" t="s">
        <v>51</v>
      </c>
      <c r="C24" s="2">
        <v>0</v>
      </c>
      <c r="D24" s="2">
        <v>0</v>
      </c>
      <c r="E24" s="1">
        <f t="shared" si="0"/>
        <v>0</v>
      </c>
      <c r="F24" s="2">
        <v>66900000</v>
      </c>
      <c r="G24" s="3">
        <f>E24-F24</f>
        <v>-66900000</v>
      </c>
    </row>
    <row r="25" spans="1:9" ht="18" customHeight="1" x14ac:dyDescent="0.25">
      <c r="A25" s="4">
        <v>312827</v>
      </c>
      <c r="B25" s="5" t="s">
        <v>52</v>
      </c>
      <c r="C25" s="2">
        <v>5000000</v>
      </c>
      <c r="D25" s="2">
        <v>0</v>
      </c>
      <c r="E25" s="2">
        <f t="shared" si="0"/>
        <v>5000000</v>
      </c>
      <c r="F25" s="2">
        <f>4845427-1945317</f>
        <v>2900110</v>
      </c>
      <c r="G25" s="3">
        <f>E25-F25</f>
        <v>2099890</v>
      </c>
    </row>
    <row r="26" spans="1:9" s="11" customFormat="1" ht="18" customHeight="1" x14ac:dyDescent="0.25">
      <c r="A26" s="48">
        <v>32</v>
      </c>
      <c r="B26" s="49" t="s">
        <v>24</v>
      </c>
      <c r="C26" s="1">
        <f>C27+C31+C35</f>
        <v>23172038700</v>
      </c>
      <c r="D26" s="1">
        <f>D27+D31+D33</f>
        <v>0</v>
      </c>
      <c r="E26" s="1">
        <f t="shared" si="0"/>
        <v>23172038700</v>
      </c>
      <c r="F26" s="1">
        <f>F27+F31+F33</f>
        <v>17973298940.529999</v>
      </c>
      <c r="G26" s="53">
        <f>G27+G31+G33</f>
        <v>5198739759.4700003</v>
      </c>
    </row>
    <row r="27" spans="1:9" s="11" customFormat="1" ht="18" customHeight="1" x14ac:dyDescent="0.25">
      <c r="A27" s="48">
        <v>3230</v>
      </c>
      <c r="B27" s="49" t="s">
        <v>25</v>
      </c>
      <c r="C27" s="55">
        <f>C28+C29+C30</f>
        <v>5772038700</v>
      </c>
      <c r="D27" s="55">
        <f t="shared" ref="D27:G27" si="3">D28+D29+D30</f>
        <v>0</v>
      </c>
      <c r="E27" s="55">
        <f t="shared" si="3"/>
        <v>5772038700</v>
      </c>
      <c r="F27" s="55">
        <f t="shared" si="3"/>
        <v>618656773.52999997</v>
      </c>
      <c r="G27" s="55">
        <f t="shared" si="3"/>
        <v>5153381926.4700003</v>
      </c>
    </row>
    <row r="28" spans="1:9" ht="18" customHeight="1" x14ac:dyDescent="0.25">
      <c r="A28" s="4">
        <v>32303</v>
      </c>
      <c r="B28" s="5" t="s">
        <v>26</v>
      </c>
      <c r="C28" s="2">
        <v>40000000</v>
      </c>
      <c r="D28" s="2">
        <v>0</v>
      </c>
      <c r="E28" s="2">
        <f t="shared" si="0"/>
        <v>40000000</v>
      </c>
      <c r="F28" s="2">
        <f>4881153.79+2838203.94</f>
        <v>7719357.7300000004</v>
      </c>
      <c r="G28" s="3">
        <f t="shared" ref="G28:G32" si="4">E28-F28</f>
        <v>32280642.27</v>
      </c>
    </row>
    <row r="29" spans="1:9" ht="18" customHeight="1" x14ac:dyDescent="0.25">
      <c r="A29" s="4">
        <v>32304</v>
      </c>
      <c r="B29" s="5" t="s">
        <v>55</v>
      </c>
      <c r="C29" s="2">
        <v>5732038700</v>
      </c>
      <c r="D29" s="2">
        <v>0</v>
      </c>
      <c r="E29" s="2">
        <f t="shared" si="0"/>
        <v>5732038700</v>
      </c>
      <c r="F29" s="2">
        <v>145154958.71000001</v>
      </c>
      <c r="G29" s="3">
        <f t="shared" si="4"/>
        <v>5586883741.29</v>
      </c>
    </row>
    <row r="30" spans="1:9" ht="18" customHeight="1" x14ac:dyDescent="0.25">
      <c r="A30" s="4">
        <v>32307</v>
      </c>
      <c r="B30" s="5" t="s">
        <v>53</v>
      </c>
      <c r="C30" s="2">
        <v>0</v>
      </c>
      <c r="D30" s="2">
        <v>0</v>
      </c>
      <c r="E30" s="1">
        <f t="shared" si="0"/>
        <v>0</v>
      </c>
      <c r="F30" s="2">
        <f>463441064.59+2341392.5</f>
        <v>465782457.08999997</v>
      </c>
      <c r="G30" s="3">
        <f t="shared" si="4"/>
        <v>-465782457.08999997</v>
      </c>
    </row>
    <row r="31" spans="1:9" s="11" customFormat="1" ht="18" customHeight="1" x14ac:dyDescent="0.25">
      <c r="A31" s="48">
        <v>3252</v>
      </c>
      <c r="B31" s="49" t="s">
        <v>54</v>
      </c>
      <c r="C31" s="1">
        <v>17400000000</v>
      </c>
      <c r="D31" s="1">
        <v>0</v>
      </c>
      <c r="E31" s="1">
        <f t="shared" si="0"/>
        <v>17400000000</v>
      </c>
      <c r="F31" s="1">
        <f>F32</f>
        <v>17278000000</v>
      </c>
      <c r="G31" s="53">
        <f t="shared" si="4"/>
        <v>122000000</v>
      </c>
    </row>
    <row r="32" spans="1:9" ht="18" customHeight="1" x14ac:dyDescent="0.25">
      <c r="A32" s="4">
        <v>32521</v>
      </c>
      <c r="B32" s="5" t="s">
        <v>54</v>
      </c>
      <c r="C32" s="2">
        <v>17400000000</v>
      </c>
      <c r="D32" s="2">
        <v>0</v>
      </c>
      <c r="E32" s="2">
        <f t="shared" si="0"/>
        <v>17400000000</v>
      </c>
      <c r="F32" s="2">
        <v>17278000000</v>
      </c>
      <c r="G32" s="3">
        <f t="shared" si="4"/>
        <v>122000000</v>
      </c>
    </row>
    <row r="33" spans="1:9" s="11" customFormat="1" ht="18" customHeight="1" x14ac:dyDescent="0.25">
      <c r="A33" s="48">
        <v>325</v>
      </c>
      <c r="B33" s="49" t="s">
        <v>27</v>
      </c>
      <c r="C33" s="1">
        <f>C34</f>
        <v>0</v>
      </c>
      <c r="D33" s="1">
        <v>0</v>
      </c>
      <c r="E33" s="1">
        <f t="shared" si="0"/>
        <v>0</v>
      </c>
      <c r="F33" s="1">
        <f>F34</f>
        <v>76642167</v>
      </c>
      <c r="G33" s="53">
        <f t="shared" si="1"/>
        <v>-76642167</v>
      </c>
    </row>
    <row r="34" spans="1:9" s="11" customFormat="1" ht="18" customHeight="1" x14ac:dyDescent="0.25">
      <c r="A34" s="48">
        <v>3255</v>
      </c>
      <c r="B34" s="49" t="s">
        <v>28</v>
      </c>
      <c r="C34" s="1">
        <f>C35</f>
        <v>0</v>
      </c>
      <c r="D34" s="1">
        <v>0</v>
      </c>
      <c r="E34" s="1">
        <f t="shared" si="0"/>
        <v>0</v>
      </c>
      <c r="F34" s="1">
        <f>F35</f>
        <v>76642167</v>
      </c>
      <c r="G34" s="53">
        <f t="shared" si="1"/>
        <v>-76642167</v>
      </c>
    </row>
    <row r="35" spans="1:9" s="11" customFormat="1" ht="18" customHeight="1" x14ac:dyDescent="0.25">
      <c r="A35" s="48">
        <v>32551</v>
      </c>
      <c r="B35" s="49" t="s">
        <v>29</v>
      </c>
      <c r="C35" s="1">
        <f>C36+C37</f>
        <v>0</v>
      </c>
      <c r="D35" s="1">
        <v>0</v>
      </c>
      <c r="E35" s="1">
        <f t="shared" si="0"/>
        <v>0</v>
      </c>
      <c r="F35" s="1">
        <f>F36+F37</f>
        <v>76642167</v>
      </c>
      <c r="G35" s="53">
        <f t="shared" si="1"/>
        <v>-76642167</v>
      </c>
    </row>
    <row r="36" spans="1:9" ht="23.25" customHeight="1" x14ac:dyDescent="0.25">
      <c r="A36" s="4">
        <v>325511</v>
      </c>
      <c r="B36" s="87" t="s">
        <v>30</v>
      </c>
      <c r="C36" s="2">
        <v>0</v>
      </c>
      <c r="D36" s="2">
        <v>0</v>
      </c>
      <c r="E36" s="1">
        <f t="shared" si="0"/>
        <v>0</v>
      </c>
      <c r="F36" s="2">
        <v>0</v>
      </c>
      <c r="G36" s="3">
        <f t="shared" si="1"/>
        <v>0</v>
      </c>
    </row>
    <row r="37" spans="1:9" ht="18" customHeight="1" x14ac:dyDescent="0.25">
      <c r="A37" s="4">
        <v>325514</v>
      </c>
      <c r="B37" s="5" t="s">
        <v>31</v>
      </c>
      <c r="C37" s="2">
        <v>0</v>
      </c>
      <c r="D37" s="2">
        <v>0</v>
      </c>
      <c r="E37" s="1">
        <f t="shared" si="0"/>
        <v>0</v>
      </c>
      <c r="F37" s="2">
        <f>19089385+57552782</f>
        <v>76642167</v>
      </c>
      <c r="G37" s="3">
        <f t="shared" si="1"/>
        <v>-76642167</v>
      </c>
    </row>
    <row r="38" spans="1:9" s="11" customFormat="1" ht="18" customHeight="1" x14ac:dyDescent="0.25">
      <c r="A38" s="48">
        <v>4</v>
      </c>
      <c r="B38" s="49" t="s">
        <v>32</v>
      </c>
      <c r="C38" s="1">
        <f>+C39+C40+C41</f>
        <v>2225294901123</v>
      </c>
      <c r="D38" s="1">
        <f>+D39+D40+D41</f>
        <v>0</v>
      </c>
      <c r="E38" s="1">
        <f t="shared" si="0"/>
        <v>2225294901123</v>
      </c>
      <c r="F38" s="1">
        <f>F39+F40+F41</f>
        <v>0</v>
      </c>
      <c r="G38" s="53">
        <f t="shared" si="1"/>
        <v>2225294901123</v>
      </c>
    </row>
    <row r="39" spans="1:9" ht="18" customHeight="1" x14ac:dyDescent="0.25">
      <c r="A39" s="4">
        <v>41</v>
      </c>
      <c r="B39" s="5" t="s">
        <v>33</v>
      </c>
      <c r="C39" s="2">
        <v>1741080189</v>
      </c>
      <c r="D39" s="2">
        <v>0</v>
      </c>
      <c r="E39" s="2">
        <f t="shared" si="0"/>
        <v>1741080189</v>
      </c>
      <c r="F39" s="6">
        <v>0</v>
      </c>
      <c r="G39" s="3">
        <f t="shared" si="1"/>
        <v>1741080189</v>
      </c>
      <c r="H39" s="7"/>
      <c r="I39" s="7"/>
    </row>
    <row r="40" spans="1:9" ht="18" customHeight="1" x14ac:dyDescent="0.25">
      <c r="A40" s="4">
        <v>42</v>
      </c>
      <c r="B40" s="5" t="s">
        <v>34</v>
      </c>
      <c r="C40" s="2">
        <v>666693528550</v>
      </c>
      <c r="D40" s="2">
        <v>0</v>
      </c>
      <c r="E40" s="2">
        <f t="shared" si="0"/>
        <v>666693528550</v>
      </c>
      <c r="F40" s="9">
        <v>0</v>
      </c>
      <c r="G40" s="3">
        <f t="shared" si="1"/>
        <v>666693528550</v>
      </c>
      <c r="H40" s="7"/>
      <c r="I40" s="7"/>
    </row>
    <row r="41" spans="1:9" ht="18" customHeight="1" x14ac:dyDescent="0.25">
      <c r="A41" s="4">
        <v>43</v>
      </c>
      <c r="B41" s="5" t="s">
        <v>35</v>
      </c>
      <c r="C41" s="10">
        <v>1556860292384</v>
      </c>
      <c r="D41" s="2">
        <v>0</v>
      </c>
      <c r="E41" s="2">
        <f t="shared" si="0"/>
        <v>1556860292384</v>
      </c>
      <c r="F41" s="2">
        <v>0</v>
      </c>
      <c r="G41" s="3">
        <f t="shared" si="1"/>
        <v>1556860292384</v>
      </c>
      <c r="H41" s="7"/>
      <c r="I41" s="7"/>
    </row>
    <row r="42" spans="1:9" s="11" customFormat="1" ht="18" customHeight="1" thickBot="1" x14ac:dyDescent="0.3">
      <c r="A42" s="148" t="s">
        <v>36</v>
      </c>
      <c r="B42" s="149"/>
      <c r="C42" s="59">
        <f>+C9+C38</f>
        <v>2496240643789</v>
      </c>
      <c r="D42" s="59">
        <f>+D9+D38</f>
        <v>0</v>
      </c>
      <c r="E42" s="59">
        <f>E9+E38</f>
        <v>2496240643789</v>
      </c>
      <c r="F42" s="59">
        <f>+F9+F38</f>
        <v>55909102535.970001</v>
      </c>
      <c r="G42" s="60">
        <f>+G9+G38</f>
        <v>2440331541253.0298</v>
      </c>
      <c r="I42" s="13"/>
    </row>
    <row r="43" spans="1:9" ht="6.75" customHeight="1" x14ac:dyDescent="0.25">
      <c r="A43" s="92"/>
      <c r="B43" s="93"/>
      <c r="C43" s="93"/>
      <c r="D43" s="93"/>
      <c r="E43" s="93"/>
      <c r="F43" s="93"/>
      <c r="G43" s="94"/>
    </row>
    <row r="44" spans="1:9" ht="20.25" customHeight="1" x14ac:dyDescent="0.25">
      <c r="A44" s="92"/>
      <c r="B44" s="93"/>
      <c r="C44" s="93"/>
      <c r="D44" s="93"/>
      <c r="E44" s="95"/>
      <c r="F44" s="93"/>
      <c r="G44" s="94"/>
    </row>
    <row r="45" spans="1:9" ht="24" customHeight="1" x14ac:dyDescent="0.25">
      <c r="A45" s="16" t="s">
        <v>37</v>
      </c>
      <c r="B45" s="17"/>
      <c r="E45" s="18" t="s">
        <v>38</v>
      </c>
      <c r="G45" s="19"/>
      <c r="H45" s="14"/>
    </row>
    <row r="46" spans="1:9" ht="13.5" customHeight="1" x14ac:dyDescent="0.25">
      <c r="A46" s="20" t="s">
        <v>39</v>
      </c>
      <c r="B46" s="17"/>
      <c r="D46" s="88"/>
      <c r="E46" s="21" t="s">
        <v>40</v>
      </c>
      <c r="G46" s="19"/>
      <c r="H46" s="14"/>
    </row>
    <row r="47" spans="1:9" s="15" customFormat="1" ht="14.25" customHeight="1" x14ac:dyDescent="0.25">
      <c r="A47" s="20" t="s">
        <v>41</v>
      </c>
      <c r="B47" s="17"/>
      <c r="D47" s="88"/>
      <c r="E47" s="88" t="s">
        <v>42</v>
      </c>
      <c r="G47" s="19"/>
    </row>
    <row r="48" spans="1:9" s="15" customFormat="1" ht="18.75" customHeight="1" x14ac:dyDescent="0.25">
      <c r="A48" s="20"/>
      <c r="B48" s="8"/>
      <c r="C48" s="88"/>
      <c r="D48" s="88"/>
      <c r="E48" s="88"/>
      <c r="G48" s="19"/>
    </row>
    <row r="49" spans="1:7" ht="12" customHeight="1" x14ac:dyDescent="0.25">
      <c r="A49" s="16"/>
      <c r="G49" s="19"/>
    </row>
    <row r="50" spans="1:7" s="15" customFormat="1" ht="21.75" customHeight="1" x14ac:dyDescent="0.25">
      <c r="A50" s="16" t="s">
        <v>43</v>
      </c>
      <c r="B50" s="17"/>
      <c r="E50" s="18" t="s">
        <v>44</v>
      </c>
      <c r="G50" s="19"/>
    </row>
    <row r="51" spans="1:7" s="15" customFormat="1" ht="16.5" customHeight="1" x14ac:dyDescent="0.25">
      <c r="A51" s="20" t="s">
        <v>45</v>
      </c>
      <c r="B51" s="17"/>
      <c r="C51" s="7"/>
      <c r="E51" s="89" t="s">
        <v>46</v>
      </c>
      <c r="G51" s="19"/>
    </row>
    <row r="52" spans="1:7" s="15" customFormat="1" ht="12.75" customHeight="1" x14ac:dyDescent="0.25">
      <c r="A52" s="20" t="s">
        <v>47</v>
      </c>
      <c r="B52" s="17"/>
      <c r="C52" s="90"/>
      <c r="E52" s="91" t="s">
        <v>48</v>
      </c>
      <c r="G52" s="19"/>
    </row>
    <row r="53" spans="1:7" ht="20.100000000000001" customHeight="1" thickBot="1" x14ac:dyDescent="0.3">
      <c r="A53" s="22"/>
      <c r="B53" s="23"/>
      <c r="C53" s="24"/>
      <c r="D53" s="24"/>
      <c r="E53" s="24"/>
      <c r="F53" s="24"/>
      <c r="G53" s="25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4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2" t="s">
        <v>0</v>
      </c>
      <c r="B1" s="143"/>
      <c r="C1" s="143"/>
      <c r="D1" s="143"/>
      <c r="E1" s="143"/>
      <c r="F1" s="143"/>
      <c r="G1" s="144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59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68949375972.850006</v>
      </c>
      <c r="G7" s="53">
        <f>E7-F7</f>
        <v>201996366693.14999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50957196667.440002</v>
      </c>
      <c r="G8" s="53">
        <f t="shared" ref="G8:G39" si="1">E8-F8</f>
        <v>196816507298.56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50957196667.440002</v>
      </c>
      <c r="G9" s="53">
        <f t="shared" si="1"/>
        <v>196816507298.56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174847467.44</v>
      </c>
      <c r="G10" s="53">
        <f t="shared" si="1"/>
        <v>38652152532.559998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136743888.44</v>
      </c>
      <c r="G11" s="53">
        <f>E11-F11</f>
        <v>38690256111.559998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1">
        <v>0</v>
      </c>
      <c r="G12" s="3">
        <f>E12-F12</f>
        <v>38046000000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</f>
        <v>136743888.44</v>
      </c>
      <c r="G13" s="3">
        <f t="shared" si="1"/>
        <v>644256111.55999994</v>
      </c>
    </row>
    <row r="14" spans="1:7" ht="18" customHeight="1" x14ac:dyDescent="0.25">
      <c r="A14" s="4">
        <v>31272</v>
      </c>
      <c r="B14" s="52" t="s">
        <v>58</v>
      </c>
      <c r="C14" s="2">
        <v>0</v>
      </c>
      <c r="D14" s="2">
        <v>0</v>
      </c>
      <c r="E14" s="2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50782349200</v>
      </c>
      <c r="G16" s="53">
        <f>E16-F16</f>
        <v>158164354766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43520420960</v>
      </c>
      <c r="G17" s="53">
        <f>E17-F17</f>
        <v>158421283006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</f>
        <v>43520420960</v>
      </c>
      <c r="G18" s="3">
        <f t="shared" si="1"/>
        <v>158421283006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7261928240</v>
      </c>
      <c r="G19" s="53">
        <f t="shared" si="1"/>
        <v>-256928240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</f>
        <v>3001012</v>
      </c>
      <c r="G23" s="3">
        <f>E23-F23</f>
        <v>1998988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17992179305.41</v>
      </c>
      <c r="G24" s="53">
        <f>G25+G29+G31</f>
        <v>5179859394.5900002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630697438.40999997</v>
      </c>
      <c r="G25" s="56">
        <f t="shared" si="3"/>
        <v>5141341261.5900002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</f>
        <v>9132515.4500000011</v>
      </c>
      <c r="G26" s="3">
        <f t="shared" ref="G26:G30" si="4">E26-F26</f>
        <v>30867484.549999997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145154958.71+10627507.16</f>
        <v>155782465.87</v>
      </c>
      <c r="G27" s="3">
        <f t="shared" si="4"/>
        <v>5576256234.1300001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83481867</v>
      </c>
      <c r="G31" s="53">
        <f t="shared" si="1"/>
        <v>-83481867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83481867</v>
      </c>
      <c r="G32" s="53">
        <f t="shared" si="1"/>
        <v>-83481867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83481867</v>
      </c>
      <c r="G33" s="53">
        <f t="shared" si="1"/>
        <v>-83481867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168646168124</v>
      </c>
      <c r="G36" s="53">
        <f t="shared" si="1"/>
        <v>1806648732999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168646168124</v>
      </c>
      <c r="G38" s="3">
        <f t="shared" si="1"/>
        <v>498047360426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0</v>
      </c>
      <c r="G39" s="3">
        <f t="shared" si="1"/>
        <v>1306860292384</v>
      </c>
      <c r="H39" s="7"/>
      <c r="I39" s="7"/>
    </row>
    <row r="40" spans="1:9" s="11" customFormat="1" ht="18" customHeight="1" thickBot="1" x14ac:dyDescent="0.3">
      <c r="A40" s="148" t="s">
        <v>36</v>
      </c>
      <c r="B40" s="149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237595544096.85001</v>
      </c>
      <c r="G40" s="60">
        <f>+G7+G36</f>
        <v>2008645099692.1499</v>
      </c>
      <c r="I40" s="13"/>
    </row>
    <row r="41" spans="1:9" ht="28.5" customHeight="1" x14ac:dyDescent="0.25">
      <c r="A41" s="150" t="s">
        <v>60</v>
      </c>
      <c r="B41" s="151"/>
      <c r="C41" s="151"/>
      <c r="D41" s="151"/>
      <c r="E41" s="151"/>
      <c r="F41" s="151"/>
      <c r="G41" s="152"/>
    </row>
    <row r="42" spans="1:9" ht="9" customHeight="1" x14ac:dyDescent="0.25">
      <c r="A42" s="153"/>
      <c r="B42" s="154"/>
      <c r="C42" s="154"/>
      <c r="D42" s="154"/>
      <c r="E42" s="154"/>
      <c r="F42" s="154"/>
      <c r="G42" s="155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4" zoomScaleNormal="100" workbookViewId="0">
      <selection activeCell="A41" sqref="A41:G41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42" t="s">
        <v>0</v>
      </c>
      <c r="B1" s="143"/>
      <c r="C1" s="143"/>
      <c r="D1" s="143"/>
      <c r="E1" s="143"/>
      <c r="F1" s="143"/>
      <c r="G1" s="144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61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99158070174.669998</v>
      </c>
      <c r="G7" s="53">
        <f>E7-F7</f>
        <v>171787672491.33002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80525216009.199997</v>
      </c>
      <c r="G8" s="53">
        <f t="shared" ref="G8:G39" si="1">E8-F8</f>
        <v>167248487956.79999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80525216009.199997</v>
      </c>
      <c r="G9" s="53">
        <f t="shared" si="1"/>
        <v>167248487956.79999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7572741177.4399996</v>
      </c>
      <c r="G10" s="53">
        <f t="shared" si="1"/>
        <v>31254258822.560001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7534637598.4399996</v>
      </c>
      <c r="G11" s="53">
        <f>E11-F11</f>
        <v>31292362401.560001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>E12-F12</f>
        <v>30705718281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</f>
        <v>194355879.44</v>
      </c>
      <c r="G13" s="3">
        <f t="shared" si="1"/>
        <v>586644120.55999994</v>
      </c>
    </row>
    <row r="14" spans="1:7" ht="18" customHeight="1" x14ac:dyDescent="0.25">
      <c r="A14" s="48">
        <v>31272</v>
      </c>
      <c r="B14" s="52" t="s">
        <v>58</v>
      </c>
      <c r="C14" s="1">
        <v>0</v>
      </c>
      <c r="D14" s="1">
        <v>0</v>
      </c>
      <c r="E14" s="1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72952474831.759995</v>
      </c>
      <c r="G16" s="53">
        <f>E16-F16</f>
        <v>135994229134.24001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59846074448</v>
      </c>
      <c r="G17" s="53">
        <f>E17-F17</f>
        <v>142095629518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</f>
        <v>59846074448</v>
      </c>
      <c r="G18" s="3">
        <f t="shared" si="1"/>
        <v>142095629518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13106400383.76</v>
      </c>
      <c r="G19" s="53">
        <f t="shared" si="1"/>
        <v>-6101400383.7600002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</f>
        <v>13036020042.76</v>
      </c>
      <c r="G20" s="3">
        <f>E20-F20</f>
        <v>-6036020042.7600002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4845427-1945317+100902+479329</f>
        <v>3480341</v>
      </c>
      <c r="G23" s="3">
        <f>E23-F23</f>
        <v>1519659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18632854165.470001</v>
      </c>
      <c r="G24" s="53">
        <f>G25+G29+G31</f>
        <v>4539184534.5299997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1042825555.8099999</v>
      </c>
      <c r="G25" s="56">
        <f t="shared" si="3"/>
        <v>4729213144.1899996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</f>
        <v>13622768.430000002</v>
      </c>
      <c r="G26" s="3">
        <f t="shared" ref="G26:G30" si="4">E26-F26</f>
        <v>26377231.57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v>563420330.28999996</v>
      </c>
      <c r="G27" s="3">
        <f t="shared" si="4"/>
        <v>5168618369.71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312028609.65999997</v>
      </c>
      <c r="G31" s="53">
        <f t="shared" si="1"/>
        <v>-312028609.65999997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312028609.65999997</v>
      </c>
      <c r="G32" s="53">
        <f t="shared" si="1"/>
        <v>-312028609.65999997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312028609.65999997</v>
      </c>
      <c r="G33" s="53">
        <f t="shared" si="1"/>
        <v>-312028609.65999997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228546742.66</v>
      </c>
      <c r="G34" s="3">
        <f t="shared" si="1"/>
        <v>-228546742.66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256942524910.26999</v>
      </c>
      <c r="G36" s="53">
        <f t="shared" si="1"/>
        <v>1718352376212.73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1200000000</v>
      </c>
      <c r="G37" s="3">
        <f t="shared" si="1"/>
        <v>541080189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255012606563</v>
      </c>
      <c r="G38" s="3">
        <f t="shared" si="1"/>
        <v>411680921987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729918347.26999998</v>
      </c>
      <c r="G39" s="3">
        <f t="shared" si="1"/>
        <v>1306130374036.73</v>
      </c>
      <c r="H39" s="7"/>
      <c r="I39" s="7"/>
    </row>
    <row r="40" spans="1:9" s="11" customFormat="1" ht="18" customHeight="1" thickBot="1" x14ac:dyDescent="0.3">
      <c r="A40" s="148" t="s">
        <v>36</v>
      </c>
      <c r="B40" s="149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356100595084.94</v>
      </c>
      <c r="G40" s="60">
        <f>+G7+G36</f>
        <v>1890140048704.0601</v>
      </c>
      <c r="I40" s="13"/>
    </row>
    <row r="41" spans="1:9" ht="28.5" customHeight="1" x14ac:dyDescent="0.25">
      <c r="A41" s="150" t="s">
        <v>60</v>
      </c>
      <c r="B41" s="151"/>
      <c r="C41" s="151"/>
      <c r="D41" s="151"/>
      <c r="E41" s="151"/>
      <c r="F41" s="151"/>
      <c r="G41" s="152"/>
    </row>
    <row r="42" spans="1:9" ht="9" customHeight="1" x14ac:dyDescent="0.25">
      <c r="A42" s="153"/>
      <c r="B42" s="154"/>
      <c r="C42" s="154"/>
      <c r="D42" s="154"/>
      <c r="E42" s="154"/>
      <c r="F42" s="154"/>
      <c r="G42" s="155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37" zoomScaleNormal="100" workbookViewId="0">
      <selection activeCell="E50" sqref="E50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42" t="s">
        <v>0</v>
      </c>
      <c r="B1" s="143"/>
      <c r="C1" s="143"/>
      <c r="D1" s="143"/>
      <c r="E1" s="143"/>
      <c r="F1" s="143"/>
      <c r="G1" s="144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62</v>
      </c>
      <c r="G4" s="44" t="s">
        <v>50</v>
      </c>
    </row>
    <row r="5" spans="1:9" ht="12" customHeight="1" thickBot="1" x14ac:dyDescent="0.3">
      <c r="A5" s="16"/>
      <c r="G5" s="19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-D8-D24</f>
        <v>0</v>
      </c>
      <c r="E7" s="1">
        <f t="shared" ref="E7:E40" si="0">+C7+D7</f>
        <v>270945742666</v>
      </c>
      <c r="F7" s="1">
        <f>+F8+F24</f>
        <v>123551060319.58</v>
      </c>
      <c r="G7" s="53">
        <f t="shared" ref="G7:G13" si="1">E7-F7</f>
        <v>147394682346.41998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-D9</f>
        <v>0</v>
      </c>
      <c r="E8" s="1">
        <f t="shared" si="0"/>
        <v>247773703966</v>
      </c>
      <c r="F8" s="1">
        <f>+F9</f>
        <v>94789657061.220001</v>
      </c>
      <c r="G8" s="53">
        <f t="shared" si="1"/>
        <v>152984046904.78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-D10-D16</f>
        <v>0</v>
      </c>
      <c r="E9" s="1">
        <f t="shared" si="0"/>
        <v>247773703966</v>
      </c>
      <c r="F9" s="1">
        <f>F10+F16</f>
        <v>94789657061.220001</v>
      </c>
      <c r="G9" s="53">
        <f t="shared" si="1"/>
        <v>152984046904.78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-D11-D14</f>
        <v>0</v>
      </c>
      <c r="E10" s="1">
        <f t="shared" si="0"/>
        <v>38827000000</v>
      </c>
      <c r="F10" s="1">
        <f>F11+F14</f>
        <v>7703616503.4399996</v>
      </c>
      <c r="G10" s="53">
        <f t="shared" si="1"/>
        <v>31123383496.560001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-D12-D13</f>
        <v>0</v>
      </c>
      <c r="E11" s="1">
        <f t="shared" si="0"/>
        <v>38827000000</v>
      </c>
      <c r="F11" s="1">
        <f>F12+F13</f>
        <v>7623272469.4399996</v>
      </c>
      <c r="G11" s="53">
        <f t="shared" si="1"/>
        <v>31203727530.560001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53810280+50359178.44+32574430+57611991+88634871</f>
        <v>282990750.44</v>
      </c>
      <c r="G13" s="3">
        <f t="shared" si="1"/>
        <v>498009249.56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si="0"/>
        <v>0</v>
      </c>
      <c r="F14" s="1">
        <f>F15</f>
        <v>80344034</v>
      </c>
      <c r="G14" s="53">
        <f t="shared" ref="G14:G39" si="2">+E14-F14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0"/>
        <v>0</v>
      </c>
      <c r="F15" s="2">
        <f>8103579+30000000+42240455</f>
        <v>80344034</v>
      </c>
      <c r="G15" s="3">
        <f t="shared" si="2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-D17-D19</f>
        <v>0</v>
      </c>
      <c r="E16" s="1">
        <f t="shared" si="0"/>
        <v>208946703966</v>
      </c>
      <c r="F16" s="1">
        <f>F17+F19</f>
        <v>87086040557.779999</v>
      </c>
      <c r="G16" s="53">
        <f t="shared" si="2"/>
        <v>121860663408.22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-D18</f>
        <v>0</v>
      </c>
      <c r="E17" s="1">
        <f t="shared" si="0"/>
        <v>201941703966</v>
      </c>
      <c r="F17" s="1">
        <f>F18</f>
        <v>73953155955</v>
      </c>
      <c r="G17" s="53">
        <f t="shared" si="2"/>
        <v>127988548011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15816454689+14745248531+12958717740+16325653488+14107081507</f>
        <v>73953155955</v>
      </c>
      <c r="G18" s="3">
        <f t="shared" si="2"/>
        <v>127988548011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0"/>
        <v>7005000000</v>
      </c>
      <c r="F19" s="54">
        <f>F20+F21+F22+F23</f>
        <v>13132884602.779999</v>
      </c>
      <c r="G19" s="53">
        <f t="shared" si="2"/>
        <v>-6127884602.7799988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7192027228+5843992814.76+25693464.22</f>
        <v>13061713506.98</v>
      </c>
      <c r="G20" s="3">
        <f t="shared" si="2"/>
        <v>-6061713506.9799995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2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2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4271095.8</v>
      </c>
      <c r="G23" s="3">
        <f t="shared" si="2"/>
        <v>728904.20000000019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-D25-D29</f>
        <v>0</v>
      </c>
      <c r="E24" s="1">
        <f t="shared" si="0"/>
        <v>23172038700</v>
      </c>
      <c r="F24" s="1">
        <f>F25+F29+F31</f>
        <v>28761403258.360001</v>
      </c>
      <c r="G24" s="53">
        <f t="shared" si="2"/>
        <v>-5589364558.3600006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 t="shared" si="0"/>
        <v>5772038700</v>
      </c>
      <c r="F25" s="55">
        <f>F26+F27+F28</f>
        <v>11153935809.880001</v>
      </c>
      <c r="G25" s="56">
        <f t="shared" si="2"/>
        <v>-5381897109.8800011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4881153.79+2838203.94+1413157.72+4490252.98+4058270.11</f>
        <v>17681038.540000003</v>
      </c>
      <c r="G26" s="3">
        <f t="shared" si="2"/>
        <v>22318961.459999997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563420330.29+10107051983.96</f>
        <v>10670472314.25</v>
      </c>
      <c r="G27" s="3">
        <f t="shared" si="2"/>
        <v>-4938433614.25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2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 t="shared" si="0"/>
        <v>17400000000</v>
      </c>
      <c r="F29" s="1">
        <f>F30</f>
        <v>17278000000</v>
      </c>
      <c r="G29" s="53">
        <f t="shared" si="2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2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0"/>
        <v>0</v>
      </c>
      <c r="F31" s="1">
        <f>F32</f>
        <v>329467448.48000002</v>
      </c>
      <c r="G31" s="53">
        <f t="shared" si="2"/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0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0"/>
        <v>0</v>
      </c>
      <c r="F33" s="1">
        <f>F34+F35+F36</f>
        <v>329467448.48000002</v>
      </c>
      <c r="G33" s="53">
        <f t="shared" si="2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0"/>
        <v>0</v>
      </c>
      <c r="F34" s="2">
        <f>228546742.66+10222866.04</f>
        <v>238769608.69999999</v>
      </c>
      <c r="G34" s="3">
        <f t="shared" si="2"/>
        <v>-238769608.69999999</v>
      </c>
    </row>
    <row r="35" spans="1:9" ht="28.5" customHeight="1" x14ac:dyDescent="0.25">
      <c r="A35" s="4">
        <v>325511</v>
      </c>
      <c r="B35" s="58" t="s">
        <v>63</v>
      </c>
      <c r="C35" s="2">
        <v>0</v>
      </c>
      <c r="D35" s="2">
        <v>0</v>
      </c>
      <c r="E35" s="1">
        <f t="shared" si="0"/>
        <v>0</v>
      </c>
      <c r="F35" s="2">
        <v>7215972.7800000003</v>
      </c>
      <c r="G35" s="3">
        <f t="shared" si="2"/>
        <v>-7215972.7800000003</v>
      </c>
    </row>
    <row r="36" spans="1:9" ht="21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>
        <f t="shared" si="0"/>
        <v>0</v>
      </c>
      <c r="F36" s="2">
        <f>19089385+57552782+6839700</f>
        <v>83481867</v>
      </c>
      <c r="G36" s="3">
        <f t="shared" si="2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-250000000000</v>
      </c>
      <c r="E37" s="1">
        <f>E38+E39+E40</f>
        <v>1975294901123</v>
      </c>
      <c r="F37" s="1">
        <f>F38+F39+F40</f>
        <v>287140548452.77002</v>
      </c>
      <c r="G37" s="53">
        <f t="shared" si="2"/>
        <v>1688154352670.23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>+C38+D38</f>
        <v>1741080189</v>
      </c>
      <c r="F38" s="6">
        <v>1200000000</v>
      </c>
      <c r="G38" s="3">
        <f t="shared" si="2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0"/>
        <v>666693528550</v>
      </c>
      <c r="F39" s="9">
        <v>284938138382</v>
      </c>
      <c r="G39" s="3">
        <f t="shared" si="2"/>
        <v>381755390168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v>-250000000000</v>
      </c>
      <c r="E40" s="2">
        <f t="shared" si="0"/>
        <v>1306860292384</v>
      </c>
      <c r="F40" s="2">
        <v>1002410070.77</v>
      </c>
      <c r="G40" s="3">
        <f>+E40-F40</f>
        <v>1305857882313.23</v>
      </c>
      <c r="H40" s="7"/>
      <c r="I40" s="7"/>
    </row>
    <row r="41" spans="1:9" s="11" customFormat="1" ht="18" customHeight="1" thickBot="1" x14ac:dyDescent="0.3">
      <c r="A41" s="148" t="s">
        <v>36</v>
      </c>
      <c r="B41" s="149"/>
      <c r="C41" s="59">
        <f>+C7+C37</f>
        <v>2496240643789</v>
      </c>
      <c r="D41" s="59">
        <f>D7+D37</f>
        <v>-250000000000</v>
      </c>
      <c r="E41" s="59">
        <f>E7+E37</f>
        <v>2246240643789</v>
      </c>
      <c r="F41" s="59">
        <f>+F7+F37</f>
        <v>410691608772.35004</v>
      </c>
      <c r="G41" s="60">
        <f>G7+G37</f>
        <v>1835549035016.6499</v>
      </c>
      <c r="I41" s="13"/>
    </row>
    <row r="42" spans="1:9" ht="28.5" customHeight="1" x14ac:dyDescent="0.25">
      <c r="A42" s="150" t="s">
        <v>60</v>
      </c>
      <c r="B42" s="151"/>
      <c r="C42" s="151"/>
      <c r="D42" s="151"/>
      <c r="E42" s="151"/>
      <c r="F42" s="151"/>
      <c r="G42" s="152"/>
    </row>
    <row r="43" spans="1:9" ht="18" customHeight="1" x14ac:dyDescent="0.25">
      <c r="A43" s="38"/>
      <c r="B43" s="39"/>
      <c r="C43" s="39"/>
      <c r="D43" s="39"/>
      <c r="E43" s="41"/>
      <c r="F43" s="39"/>
      <c r="G43" s="40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showGridLines="0" zoomScaleNormal="100" workbookViewId="0">
      <selection activeCell="E41" sqref="E41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42578125" style="8" customWidth="1"/>
    <col min="3" max="3" width="26.5703125" style="15" customWidth="1"/>
    <col min="4" max="4" width="23.5703125" style="15" customWidth="1"/>
    <col min="5" max="5" width="25.140625" style="15" customWidth="1"/>
    <col min="6" max="6" width="29.5703125" style="15" customWidth="1"/>
    <col min="7" max="7" width="27.8554687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6" t="s">
        <v>0</v>
      </c>
      <c r="B1" s="157"/>
      <c r="C1" s="157"/>
      <c r="D1" s="157"/>
      <c r="E1" s="157"/>
      <c r="F1" s="157"/>
      <c r="G1" s="158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64</v>
      </c>
      <c r="G4" s="44" t="s">
        <v>50</v>
      </c>
    </row>
    <row r="5" spans="1:9" ht="12" customHeight="1" thickBot="1" x14ac:dyDescent="0.3">
      <c r="A5" s="22"/>
      <c r="B5" s="23"/>
      <c r="C5" s="24"/>
      <c r="D5" s="24"/>
      <c r="E5" s="24"/>
      <c r="F5" s="24"/>
      <c r="G5" s="25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61">
        <v>3</v>
      </c>
      <c r="B7" s="62" t="s">
        <v>12</v>
      </c>
      <c r="C7" s="63">
        <f>C8+C24</f>
        <v>270945742666</v>
      </c>
      <c r="D7" s="63">
        <f>D8+D24</f>
        <v>0</v>
      </c>
      <c r="E7" s="63">
        <f>E8+E24</f>
        <v>270945742666</v>
      </c>
      <c r="F7" s="63">
        <f>F8+F24</f>
        <v>142453526982.56</v>
      </c>
      <c r="G7" s="64">
        <f>G8+G24</f>
        <v>128492215683.44</v>
      </c>
    </row>
    <row r="8" spans="1:9" s="11" customFormat="1" ht="18" customHeight="1" x14ac:dyDescent="0.25">
      <c r="A8" s="65">
        <v>31</v>
      </c>
      <c r="B8" s="66" t="s">
        <v>13</v>
      </c>
      <c r="C8" s="67">
        <f>+C9</f>
        <v>247773703966</v>
      </c>
      <c r="D8" s="67">
        <f t="shared" ref="D8:G8" si="0">+D9</f>
        <v>0</v>
      </c>
      <c r="E8" s="67">
        <f t="shared" si="0"/>
        <v>247773703966</v>
      </c>
      <c r="F8" s="67">
        <f t="shared" si="0"/>
        <v>113677813166.47</v>
      </c>
      <c r="G8" s="68">
        <f t="shared" si="0"/>
        <v>134095890799.53</v>
      </c>
    </row>
    <row r="9" spans="1:9" s="11" customFormat="1" ht="18" customHeight="1" x14ac:dyDescent="0.25">
      <c r="A9" s="65">
        <v>312</v>
      </c>
      <c r="B9" s="66" t="s">
        <v>14</v>
      </c>
      <c r="C9" s="67">
        <f>C10+C16</f>
        <v>247773703966</v>
      </c>
      <c r="D9" s="67">
        <f>D10+D16</f>
        <v>0</v>
      </c>
      <c r="E9" s="67">
        <f>E10+E16</f>
        <v>247773703966</v>
      </c>
      <c r="F9" s="67">
        <f>F10+F16</f>
        <v>113677813166.47</v>
      </c>
      <c r="G9" s="68">
        <f>G10+G16</f>
        <v>134095890799.53</v>
      </c>
    </row>
    <row r="10" spans="1:9" s="11" customFormat="1" ht="18" customHeight="1" x14ac:dyDescent="0.25">
      <c r="A10" s="65">
        <v>3127</v>
      </c>
      <c r="B10" s="66" t="s">
        <v>15</v>
      </c>
      <c r="C10" s="67">
        <f>+C11+C14</f>
        <v>38827000000</v>
      </c>
      <c r="D10" s="67">
        <f>+D11+D14</f>
        <v>0</v>
      </c>
      <c r="E10" s="67">
        <f>+E11+E14</f>
        <v>38827000000</v>
      </c>
      <c r="F10" s="67">
        <f>+F11+F14</f>
        <v>7866465787.4399996</v>
      </c>
      <c r="G10" s="68">
        <f>+G11+G14</f>
        <v>30960534212.560001</v>
      </c>
    </row>
    <row r="11" spans="1:9" s="11" customFormat="1" ht="18" customHeight="1" x14ac:dyDescent="0.25">
      <c r="A11" s="65">
        <v>31271</v>
      </c>
      <c r="B11" s="66" t="s">
        <v>16</v>
      </c>
      <c r="C11" s="67">
        <f>+C12+C13</f>
        <v>38827000000</v>
      </c>
      <c r="D11" s="67">
        <f>+D12+D13</f>
        <v>0</v>
      </c>
      <c r="E11" s="67">
        <f>+E12+E13</f>
        <v>38827000000</v>
      </c>
      <c r="F11" s="67">
        <f>+F12+F13</f>
        <v>7786121753.4399996</v>
      </c>
      <c r="G11" s="68">
        <f>SUM(G12:G13)</f>
        <v>31040878246.560001</v>
      </c>
    </row>
    <row r="12" spans="1:9" s="11" customFormat="1" ht="18" customHeight="1" x14ac:dyDescent="0.25">
      <c r="A12" s="69">
        <v>312712</v>
      </c>
      <c r="B12" s="70" t="s">
        <v>56</v>
      </c>
      <c r="C12" s="71">
        <v>38046000000</v>
      </c>
      <c r="D12" s="67">
        <v>0</v>
      </c>
      <c r="E12" s="71">
        <f>+C12+D12</f>
        <v>38046000000</v>
      </c>
      <c r="F12" s="71">
        <v>7340281719</v>
      </c>
      <c r="G12" s="72">
        <f>E12-F12</f>
        <v>30705718281</v>
      </c>
      <c r="H12" s="12"/>
      <c r="I12" s="12"/>
    </row>
    <row r="13" spans="1:9" ht="18" customHeight="1" x14ac:dyDescent="0.25">
      <c r="A13" s="69">
        <v>312717</v>
      </c>
      <c r="B13" s="73" t="s">
        <v>17</v>
      </c>
      <c r="C13" s="71">
        <v>781000000</v>
      </c>
      <c r="D13" s="71">
        <v>0</v>
      </c>
      <c r="E13" s="71">
        <f>+C13+D13</f>
        <v>781000000</v>
      </c>
      <c r="F13" s="71">
        <f>53810280+50359178.44+32574430+57611991+88634871+162849284</f>
        <v>445840034.44</v>
      </c>
      <c r="G13" s="72">
        <f>E13-F13</f>
        <v>335159965.56</v>
      </c>
    </row>
    <row r="14" spans="1:9" ht="18" customHeight="1" x14ac:dyDescent="0.25">
      <c r="A14" s="69">
        <v>31272</v>
      </c>
      <c r="B14" s="74" t="s">
        <v>58</v>
      </c>
      <c r="C14" s="71">
        <f>+C15</f>
        <v>0</v>
      </c>
      <c r="D14" s="71">
        <f>-D15</f>
        <v>0</v>
      </c>
      <c r="E14" s="71">
        <f t="shared" ref="E14:E39" si="1">+C14+D14</f>
        <v>0</v>
      </c>
      <c r="F14" s="67">
        <f>F15</f>
        <v>80344034</v>
      </c>
      <c r="G14" s="68">
        <f>G15</f>
        <v>-80344034</v>
      </c>
    </row>
    <row r="15" spans="1:9" ht="18" customHeight="1" x14ac:dyDescent="0.25">
      <c r="A15" s="69">
        <v>312721</v>
      </c>
      <c r="B15" s="73" t="s">
        <v>58</v>
      </c>
      <c r="C15" s="71">
        <v>0</v>
      </c>
      <c r="D15" s="71">
        <v>0</v>
      </c>
      <c r="E15" s="71">
        <f t="shared" si="1"/>
        <v>0</v>
      </c>
      <c r="F15" s="71">
        <f>8103579+30000000+42240455</f>
        <v>80344034</v>
      </c>
      <c r="G15" s="72">
        <f>E15-F15</f>
        <v>-80344034</v>
      </c>
    </row>
    <row r="16" spans="1:9" s="11" customFormat="1" ht="18" customHeight="1" x14ac:dyDescent="0.25">
      <c r="A16" s="65">
        <v>3128</v>
      </c>
      <c r="B16" s="66" t="s">
        <v>18</v>
      </c>
      <c r="C16" s="67">
        <f>+C17+C19</f>
        <v>208946703966</v>
      </c>
      <c r="D16" s="67">
        <f>+D17+D19</f>
        <v>0</v>
      </c>
      <c r="E16" s="67">
        <f>+E17+E19</f>
        <v>208946703966</v>
      </c>
      <c r="F16" s="67">
        <f>+F17+F19</f>
        <v>105811347379.03</v>
      </c>
      <c r="G16" s="68">
        <f>+G17+G19</f>
        <v>103135356586.97</v>
      </c>
    </row>
    <row r="17" spans="1:9" s="11" customFormat="1" ht="18" customHeight="1" x14ac:dyDescent="0.25">
      <c r="A17" s="65">
        <v>31281</v>
      </c>
      <c r="B17" s="66" t="s">
        <v>19</v>
      </c>
      <c r="C17" s="67">
        <f>+C18</f>
        <v>201941703966</v>
      </c>
      <c r="D17" s="67">
        <f>+D18</f>
        <v>0</v>
      </c>
      <c r="E17" s="67">
        <f>+E18</f>
        <v>201941703966</v>
      </c>
      <c r="F17" s="67">
        <f>+F18</f>
        <v>87473932336.369995</v>
      </c>
      <c r="G17" s="68">
        <f>+G18</f>
        <v>114467771629.63</v>
      </c>
      <c r="I17" s="12"/>
    </row>
    <row r="18" spans="1:9" ht="18" customHeight="1" x14ac:dyDescent="0.25">
      <c r="A18" s="69">
        <v>312811</v>
      </c>
      <c r="B18" s="75" t="s">
        <v>20</v>
      </c>
      <c r="C18" s="71">
        <v>201941703966</v>
      </c>
      <c r="D18" s="71"/>
      <c r="E18" s="71">
        <f t="shared" si="1"/>
        <v>201941703966</v>
      </c>
      <c r="F18" s="71">
        <f>15816454689+14745248531+12958717740+16325653488+14107081507+13520776381.37</f>
        <v>87473932336.369995</v>
      </c>
      <c r="G18" s="72">
        <f>E18-F18</f>
        <v>114467771629.63</v>
      </c>
      <c r="I18" s="7"/>
    </row>
    <row r="19" spans="1:9" s="11" customFormat="1" ht="18" customHeight="1" x14ac:dyDescent="0.25">
      <c r="A19" s="65">
        <v>31282</v>
      </c>
      <c r="B19" s="66" t="s">
        <v>21</v>
      </c>
      <c r="C19" s="67">
        <f>+C20+C21+C22+C23</f>
        <v>7005000000</v>
      </c>
      <c r="D19" s="67">
        <f>-D20-D21-D22-D23</f>
        <v>0</v>
      </c>
      <c r="E19" s="67">
        <f>E20+E21+E22+E23</f>
        <v>7005000000</v>
      </c>
      <c r="F19" s="76">
        <f>F20+F21+F22+F23</f>
        <v>18337415042.66</v>
      </c>
      <c r="G19" s="68">
        <f>SUM(G20:G23)</f>
        <v>-11332415042.66</v>
      </c>
    </row>
    <row r="20" spans="1:9" ht="18" customHeight="1" x14ac:dyDescent="0.25">
      <c r="A20" s="69">
        <v>312821</v>
      </c>
      <c r="B20" s="75" t="s">
        <v>22</v>
      </c>
      <c r="C20" s="71">
        <v>7000000000</v>
      </c>
      <c r="D20" s="71">
        <v>0</v>
      </c>
      <c r="E20" s="71">
        <f t="shared" si="1"/>
        <v>7000000000</v>
      </c>
      <c r="F20" s="71">
        <f>7192027228+5843992814.76+25693464.22+5203906186.16</f>
        <v>18265619693.139999</v>
      </c>
      <c r="G20" s="72">
        <f>E20-F20</f>
        <v>-11265619693.139999</v>
      </c>
    </row>
    <row r="21" spans="1:9" ht="18" customHeight="1" x14ac:dyDescent="0.25">
      <c r="A21" s="69">
        <v>312822</v>
      </c>
      <c r="B21" s="75" t="s">
        <v>23</v>
      </c>
      <c r="C21" s="71">
        <v>0</v>
      </c>
      <c r="D21" s="71">
        <v>0</v>
      </c>
      <c r="E21" s="67">
        <f t="shared" si="1"/>
        <v>0</v>
      </c>
      <c r="F21" s="71">
        <v>0</v>
      </c>
      <c r="G21" s="72">
        <f>E21-F21</f>
        <v>0</v>
      </c>
    </row>
    <row r="22" spans="1:9" ht="18" customHeight="1" x14ac:dyDescent="0.25">
      <c r="A22" s="69">
        <v>312823</v>
      </c>
      <c r="B22" s="75" t="s">
        <v>51</v>
      </c>
      <c r="C22" s="71">
        <v>0</v>
      </c>
      <c r="D22" s="71">
        <v>0</v>
      </c>
      <c r="E22" s="67">
        <f t="shared" si="1"/>
        <v>0</v>
      </c>
      <c r="F22" s="71">
        <v>66900000</v>
      </c>
      <c r="G22" s="72">
        <f>E22-F22</f>
        <v>-66900000</v>
      </c>
    </row>
    <row r="23" spans="1:9" ht="18" customHeight="1" x14ac:dyDescent="0.25">
      <c r="A23" s="69">
        <v>312827</v>
      </c>
      <c r="B23" s="75" t="s">
        <v>52</v>
      </c>
      <c r="C23" s="71">
        <v>5000000</v>
      </c>
      <c r="D23" s="71">
        <v>0</v>
      </c>
      <c r="E23" s="71">
        <f t="shared" si="1"/>
        <v>5000000</v>
      </c>
      <c r="F23" s="71">
        <f>4271095.8+624253.72</f>
        <v>4895349.5199999996</v>
      </c>
      <c r="G23" s="72">
        <f>E23-F23</f>
        <v>104650.48000000045</v>
      </c>
    </row>
    <row r="24" spans="1:9" s="11" customFormat="1" ht="18" customHeight="1" x14ac:dyDescent="0.25">
      <c r="A24" s="65">
        <v>32</v>
      </c>
      <c r="B24" s="66" t="s">
        <v>24</v>
      </c>
      <c r="C24" s="67">
        <f>C25+C29+C32</f>
        <v>23172038700</v>
      </c>
      <c r="D24" s="67">
        <f>-D25-D29</f>
        <v>0</v>
      </c>
      <c r="E24" s="67">
        <f>E25+E29+E32</f>
        <v>23172038700</v>
      </c>
      <c r="F24" s="67">
        <f>F25+F29+F32</f>
        <v>28775713816.09</v>
      </c>
      <c r="G24" s="68">
        <f t="shared" ref="G24:G32" si="2">+E24-F24</f>
        <v>-5603675116.0900002</v>
      </c>
      <c r="H24" s="12"/>
    </row>
    <row r="25" spans="1:9" s="11" customFormat="1" ht="18" customHeight="1" x14ac:dyDescent="0.25">
      <c r="A25" s="65">
        <v>3230</v>
      </c>
      <c r="B25" s="66" t="s">
        <v>25</v>
      </c>
      <c r="C25" s="77">
        <f>+C26+C27+C28</f>
        <v>5772038700</v>
      </c>
      <c r="D25" s="77">
        <f>-D26-D27-D28</f>
        <v>0</v>
      </c>
      <c r="E25" s="77">
        <f>E26+E27+E28</f>
        <v>5772038700</v>
      </c>
      <c r="F25" s="77">
        <f>F26+F27+F28</f>
        <v>11168246367.610001</v>
      </c>
      <c r="G25" s="78">
        <f>G26+G27+G28</f>
        <v>-5396207667.6100006</v>
      </c>
    </row>
    <row r="26" spans="1:9" ht="18" customHeight="1" x14ac:dyDescent="0.25">
      <c r="A26" s="69">
        <v>32303</v>
      </c>
      <c r="B26" s="75" t="s">
        <v>26</v>
      </c>
      <c r="C26" s="71">
        <v>40000000</v>
      </c>
      <c r="D26" s="71">
        <v>0</v>
      </c>
      <c r="E26" s="71">
        <f t="shared" si="1"/>
        <v>40000000</v>
      </c>
      <c r="F26" s="71">
        <f>4881153.79+2838203.94+1413157.72+4490252.98+4058270.11+3584154.04</f>
        <v>21265192.580000002</v>
      </c>
      <c r="G26" s="72">
        <f>E26-F26</f>
        <v>18734807.419999998</v>
      </c>
      <c r="H26" s="7"/>
    </row>
    <row r="27" spans="1:9" ht="18" customHeight="1" x14ac:dyDescent="0.25">
      <c r="A27" s="69">
        <v>32304</v>
      </c>
      <c r="B27" s="75" t="s">
        <v>55</v>
      </c>
      <c r="C27" s="71">
        <v>5732038700</v>
      </c>
      <c r="D27" s="71">
        <v>0</v>
      </c>
      <c r="E27" s="71">
        <f t="shared" si="1"/>
        <v>5732038700</v>
      </c>
      <c r="F27" s="71">
        <f>563420330.29+10107051983.96+10726403.69</f>
        <v>10681198717.940001</v>
      </c>
      <c r="G27" s="72">
        <f>E27-F27</f>
        <v>-4949160017.9400005</v>
      </c>
    </row>
    <row r="28" spans="1:9" ht="18" customHeight="1" x14ac:dyDescent="0.25">
      <c r="A28" s="69">
        <v>32307</v>
      </c>
      <c r="B28" s="75" t="s">
        <v>53</v>
      </c>
      <c r="C28" s="71">
        <v>0</v>
      </c>
      <c r="D28" s="71">
        <v>0</v>
      </c>
      <c r="E28" s="67">
        <f t="shared" si="1"/>
        <v>0</v>
      </c>
      <c r="F28" s="71">
        <f>463441064.59+2341392.5</f>
        <v>465782457.08999997</v>
      </c>
      <c r="G28" s="72">
        <f>E28-F28</f>
        <v>-465782457.08999997</v>
      </c>
    </row>
    <row r="29" spans="1:9" s="11" customFormat="1" ht="18" customHeight="1" x14ac:dyDescent="0.25">
      <c r="A29" s="65">
        <v>3252</v>
      </c>
      <c r="B29" s="66" t="s">
        <v>54</v>
      </c>
      <c r="C29" s="67">
        <f>+C30</f>
        <v>17400000000</v>
      </c>
      <c r="D29" s="67">
        <f>-D30</f>
        <v>0</v>
      </c>
      <c r="E29" s="67">
        <f>E30</f>
        <v>17400000000</v>
      </c>
      <c r="F29" s="67">
        <f>F30</f>
        <v>17278000000</v>
      </c>
      <c r="G29" s="68">
        <f>G30</f>
        <v>122000000</v>
      </c>
    </row>
    <row r="30" spans="1:9" ht="18" customHeight="1" x14ac:dyDescent="0.25">
      <c r="A30" s="69">
        <v>32521</v>
      </c>
      <c r="B30" s="75" t="s">
        <v>54</v>
      </c>
      <c r="C30" s="71">
        <v>17400000000</v>
      </c>
      <c r="D30" s="71">
        <v>0</v>
      </c>
      <c r="E30" s="71">
        <f t="shared" si="1"/>
        <v>17400000000</v>
      </c>
      <c r="F30" s="71">
        <v>17278000000</v>
      </c>
      <c r="G30" s="72">
        <f>E30-F30</f>
        <v>122000000</v>
      </c>
    </row>
    <row r="31" spans="1:9" s="11" customFormat="1" ht="18" customHeight="1" x14ac:dyDescent="0.25">
      <c r="A31" s="65">
        <v>325</v>
      </c>
      <c r="B31" s="66" t="s">
        <v>27</v>
      </c>
      <c r="C31" s="67">
        <f>+C32</f>
        <v>0</v>
      </c>
      <c r="D31" s="67">
        <f>-D32</f>
        <v>0</v>
      </c>
      <c r="E31" s="67">
        <f t="shared" si="1"/>
        <v>0</v>
      </c>
      <c r="F31" s="67">
        <f>F32</f>
        <v>329467448.48000002</v>
      </c>
      <c r="G31" s="68">
        <f>+E31-F31</f>
        <v>-329467448.48000002</v>
      </c>
    </row>
    <row r="32" spans="1:9" s="11" customFormat="1" ht="18" customHeight="1" x14ac:dyDescent="0.25">
      <c r="A32" s="65">
        <v>3255</v>
      </c>
      <c r="B32" s="66" t="s">
        <v>28</v>
      </c>
      <c r="C32" s="67">
        <f>+C33</f>
        <v>0</v>
      </c>
      <c r="D32" s="67">
        <f>-D33</f>
        <v>0</v>
      </c>
      <c r="E32" s="67">
        <f t="shared" si="1"/>
        <v>0</v>
      </c>
      <c r="F32" s="67">
        <f>F33</f>
        <v>329467448.48000002</v>
      </c>
      <c r="G32" s="68">
        <f t="shared" si="2"/>
        <v>-329467448.48000002</v>
      </c>
    </row>
    <row r="33" spans="1:9" s="11" customFormat="1" ht="18" customHeight="1" x14ac:dyDescent="0.25">
      <c r="A33" s="65">
        <v>32551</v>
      </c>
      <c r="B33" s="66" t="s">
        <v>29</v>
      </c>
      <c r="C33" s="67">
        <f>+C34+C35+C36</f>
        <v>0</v>
      </c>
      <c r="D33" s="67">
        <f>-D34-D35-D36</f>
        <v>0</v>
      </c>
      <c r="E33" s="67">
        <f>E34+E35+E36</f>
        <v>0</v>
      </c>
      <c r="F33" s="67">
        <f>F34+F35+F36</f>
        <v>329467448.48000002</v>
      </c>
      <c r="G33" s="68">
        <f>G34+G35+G36</f>
        <v>-329467448.48000002</v>
      </c>
    </row>
    <row r="34" spans="1:9" ht="32.25" customHeight="1" x14ac:dyDescent="0.25">
      <c r="A34" s="69">
        <v>325511</v>
      </c>
      <c r="B34" s="79" t="s">
        <v>30</v>
      </c>
      <c r="C34" s="71">
        <v>0</v>
      </c>
      <c r="D34" s="71">
        <v>0</v>
      </c>
      <c r="E34" s="67">
        <f t="shared" si="1"/>
        <v>0</v>
      </c>
      <c r="F34" s="71">
        <f>228546742.66+10222866.04</f>
        <v>238769608.69999999</v>
      </c>
      <c r="G34" s="72">
        <f>E34-F34</f>
        <v>-238769608.69999999</v>
      </c>
    </row>
    <row r="35" spans="1:9" ht="28.5" customHeight="1" x14ac:dyDescent="0.25">
      <c r="A35" s="69">
        <v>325511</v>
      </c>
      <c r="B35" s="80" t="s">
        <v>63</v>
      </c>
      <c r="C35" s="71">
        <v>0</v>
      </c>
      <c r="D35" s="71">
        <v>0</v>
      </c>
      <c r="E35" s="67">
        <f t="shared" si="1"/>
        <v>0</v>
      </c>
      <c r="F35" s="71">
        <v>7215972.7800000003</v>
      </c>
      <c r="G35" s="72">
        <f>E35-F35</f>
        <v>-7215972.7800000003</v>
      </c>
    </row>
    <row r="36" spans="1:9" ht="21.75" customHeight="1" x14ac:dyDescent="0.25">
      <c r="A36" s="69">
        <v>325514</v>
      </c>
      <c r="B36" s="80" t="s">
        <v>31</v>
      </c>
      <c r="C36" s="71">
        <v>0</v>
      </c>
      <c r="D36" s="71">
        <v>0</v>
      </c>
      <c r="E36" s="67"/>
      <c r="F36" s="71">
        <f>19089385+57552782+6839700</f>
        <v>83481867</v>
      </c>
      <c r="G36" s="72">
        <f>E36-F36</f>
        <v>-83481867</v>
      </c>
    </row>
    <row r="37" spans="1:9" s="11" customFormat="1" ht="18" customHeight="1" x14ac:dyDescent="0.25">
      <c r="A37" s="65">
        <v>4</v>
      </c>
      <c r="B37" s="66" t="s">
        <v>32</v>
      </c>
      <c r="C37" s="67">
        <f>+C38+C39+C40</f>
        <v>2225294901123</v>
      </c>
      <c r="D37" s="67">
        <f>D38+D39+D40</f>
        <v>-319000000000</v>
      </c>
      <c r="E37" s="67">
        <f>E38+E39+E40</f>
        <v>1906294901123</v>
      </c>
      <c r="F37" s="67">
        <f>F38+F39+F40</f>
        <v>342462362204</v>
      </c>
      <c r="G37" s="68">
        <f>G38+G39+G40</f>
        <v>1563832538919</v>
      </c>
    </row>
    <row r="38" spans="1:9" ht="18" customHeight="1" x14ac:dyDescent="0.25">
      <c r="A38" s="69">
        <v>41</v>
      </c>
      <c r="B38" s="75" t="s">
        <v>33</v>
      </c>
      <c r="C38" s="71">
        <v>1741080189</v>
      </c>
      <c r="D38" s="71">
        <v>0</v>
      </c>
      <c r="E38" s="71">
        <f t="shared" si="1"/>
        <v>1741080189</v>
      </c>
      <c r="F38" s="81">
        <v>1200000000</v>
      </c>
      <c r="G38" s="72">
        <f>E38-F38</f>
        <v>541080189</v>
      </c>
      <c r="H38" s="7"/>
      <c r="I38" s="7"/>
    </row>
    <row r="39" spans="1:9" ht="18" customHeight="1" x14ac:dyDescent="0.25">
      <c r="A39" s="69">
        <v>42</v>
      </c>
      <c r="B39" s="75" t="s">
        <v>34</v>
      </c>
      <c r="C39" s="71">
        <v>666693528550</v>
      </c>
      <c r="D39" s="71">
        <v>0</v>
      </c>
      <c r="E39" s="71">
        <f t="shared" si="1"/>
        <v>666693528550</v>
      </c>
      <c r="F39" s="82">
        <f>284938138382+55233781613</f>
        <v>340171919995</v>
      </c>
      <c r="G39" s="72">
        <f>E39-F39</f>
        <v>326521608555</v>
      </c>
      <c r="H39" s="7"/>
      <c r="I39" s="7"/>
    </row>
    <row r="40" spans="1:9" ht="18" customHeight="1" x14ac:dyDescent="0.25">
      <c r="A40" s="69">
        <v>43</v>
      </c>
      <c r="B40" s="75" t="s">
        <v>35</v>
      </c>
      <c r="C40" s="83">
        <v>1556860292384</v>
      </c>
      <c r="D40" s="71">
        <f>-250000000000-69000000000</f>
        <v>-319000000000</v>
      </c>
      <c r="E40" s="71">
        <f>C40+D40</f>
        <v>1237860292384</v>
      </c>
      <c r="F40" s="84">
        <f>1002410070.77+88032138.23</f>
        <v>1090442209</v>
      </c>
      <c r="G40" s="72">
        <f>E40-F40</f>
        <v>1236769850175</v>
      </c>
      <c r="H40" s="7"/>
      <c r="I40" s="7"/>
    </row>
    <row r="41" spans="1:9" s="11" customFormat="1" ht="18" customHeight="1" thickBot="1" x14ac:dyDescent="0.3">
      <c r="A41" s="159" t="s">
        <v>36</v>
      </c>
      <c r="B41" s="160"/>
      <c r="C41" s="85">
        <f>C7+C37</f>
        <v>2496240643789</v>
      </c>
      <c r="D41" s="85">
        <f>D7+D37</f>
        <v>-319000000000</v>
      </c>
      <c r="E41" s="85">
        <f>E7+E37</f>
        <v>2177240643789</v>
      </c>
      <c r="F41" s="85">
        <f>F7+F37</f>
        <v>484915889186.56</v>
      </c>
      <c r="G41" s="86">
        <f>G7+G37</f>
        <v>1692324754602.4399</v>
      </c>
      <c r="H41" s="12"/>
      <c r="I41" s="13"/>
    </row>
    <row r="42" spans="1:9" ht="28.5" customHeight="1" x14ac:dyDescent="0.25">
      <c r="A42" s="150" t="s">
        <v>65</v>
      </c>
      <c r="B42" s="151"/>
      <c r="C42" s="151"/>
      <c r="D42" s="151"/>
      <c r="E42" s="151"/>
      <c r="F42" s="151"/>
      <c r="G42" s="152"/>
    </row>
    <row r="43" spans="1:9" ht="26.25" customHeight="1" x14ac:dyDescent="0.25">
      <c r="A43" s="38"/>
      <c r="B43" s="39"/>
      <c r="C43" s="39"/>
      <c r="D43" s="41"/>
      <c r="E43" s="41"/>
      <c r="F43" s="39"/>
      <c r="G43" s="42"/>
    </row>
    <row r="44" spans="1:9" ht="18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8.5" customHeight="1" x14ac:dyDescent="0.25">
      <c r="A47" s="16"/>
      <c r="G47" s="19"/>
    </row>
    <row r="48" spans="1:9" s="15" customFormat="1" ht="17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scale="60" orientation="landscape" horizontalDpi="4294967294" r:id="rId1"/>
  <ignoredErrors>
    <ignoredError sqref="E19 G14 G19 G29 E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topLeftCell="A37" zoomScaleNormal="100" workbookViewId="0">
      <selection activeCell="B45" sqref="B45:B4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7" style="8" customWidth="1"/>
    <col min="3" max="3" width="24.28515625" style="15" customWidth="1"/>
    <col min="4" max="4" width="26.140625" style="15" customWidth="1"/>
    <col min="5" max="5" width="28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1" t="s">
        <v>0</v>
      </c>
      <c r="B1" s="162"/>
      <c r="C1" s="162"/>
      <c r="D1" s="162"/>
      <c r="E1" s="162"/>
      <c r="F1" s="162"/>
      <c r="G1" s="163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66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157802007274.07001</v>
      </c>
      <c r="G7" s="53">
        <f>G8+G24</f>
        <v>113143735391.92999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G8" si="0">+D9</f>
        <v>0</v>
      </c>
      <c r="E8" s="1">
        <f t="shared" si="0"/>
        <v>247773703966</v>
      </c>
      <c r="F8" s="1">
        <f t="shared" si="0"/>
        <v>128603760654.47</v>
      </c>
      <c r="G8" s="53">
        <f t="shared" si="0"/>
        <v>119169943311.53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128603760654.47</v>
      </c>
      <c r="G9" s="53">
        <f>G10+G16</f>
        <v>119169943311.53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7932291294.4399996</v>
      </c>
      <c r="G10" s="53">
        <f>+G11+G14</f>
        <v>30894708705.560001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7851947260.4399996</v>
      </c>
      <c r="G11" s="53">
        <f>SUM(G12:G13)</f>
        <v>30975052739.560001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>E12-F12</f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53810280+50359178.44+32574430+57611991+88634871+162849284+65825507</f>
        <v>511665541.44</v>
      </c>
      <c r="G13" s="3">
        <f>E13-F13</f>
        <v>269334458.56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1">+C14+D14</f>
        <v>0</v>
      </c>
      <c r="F14" s="1">
        <f>F15</f>
        <v>80344034</v>
      </c>
      <c r="G14" s="53">
        <f>G15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1"/>
        <v>0</v>
      </c>
      <c r="F15" s="2">
        <f>8103579+30000000+42240455</f>
        <v>80344034</v>
      </c>
      <c r="G15" s="3">
        <f>E15-F15</f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120671469360.03</v>
      </c>
      <c r="G16" s="53">
        <f>+G17+G19</f>
        <v>88275234605.970001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102331917211.37</v>
      </c>
      <c r="G17" s="53">
        <f>+G18</f>
        <v>99609786754.630005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1"/>
        <v>201941703966</v>
      </c>
      <c r="F18" s="2">
        <f>15816454689+14745248531+12958717740+16325653488+14107081507+13520776381.37+14857984875</f>
        <v>102331917211.37</v>
      </c>
      <c r="G18" s="3">
        <f>E18-F18</f>
        <v>99609786754.630005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18339552148.66</v>
      </c>
      <c r="G19" s="53">
        <f>SUM(G20:G23)</f>
        <v>-11334552148.66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1"/>
        <v>7000000000</v>
      </c>
      <c r="F20" s="2">
        <f>7192027228+5843992814.76+25693464.22+5203906186.16</f>
        <v>18265619693.139999</v>
      </c>
      <c r="G20" s="3">
        <f>E20-F20</f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1"/>
        <v>0</v>
      </c>
      <c r="F21" s="2">
        <v>1567139</v>
      </c>
      <c r="G21" s="3">
        <f>E21-F21</f>
        <v>-1567139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1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1"/>
        <v>5000000</v>
      </c>
      <c r="F23" s="2">
        <f>4271095.8+624253.72+569967</f>
        <v>5465316.5199999996</v>
      </c>
      <c r="G23" s="3">
        <f>E23-F23</f>
        <v>-465316.51999999955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C25+C29+C32</f>
        <v>23172038700</v>
      </c>
      <c r="D24" s="1">
        <f>-D25-D29</f>
        <v>0</v>
      </c>
      <c r="E24" s="1">
        <f>E25+E29+E32</f>
        <v>23172038700</v>
      </c>
      <c r="F24" s="1">
        <f>F25+F29+F32</f>
        <v>29198246619.600002</v>
      </c>
      <c r="G24" s="53">
        <f t="shared" ref="G24:G32" si="2">+E24-F24</f>
        <v>-6026207919.6000023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11590779171.120001</v>
      </c>
      <c r="G25" s="56">
        <f>G26+G27+G28</f>
        <v>-5818740471.1200018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1"/>
        <v>40000000</v>
      </c>
      <c r="F26" s="2">
        <f>4881153.79+2838203.94+1413157.72+4490252.98+4058270.11+3584154.04+2409267.06</f>
        <v>23674459.640000001</v>
      </c>
      <c r="G26" s="3">
        <f>E26-F26</f>
        <v>16325540.359999999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1"/>
        <v>5732038700</v>
      </c>
      <c r="F27" s="2">
        <f>563420330.29+10107051983.96+10726403.69+420123536.45</f>
        <v>11101322254.390001</v>
      </c>
      <c r="G27" s="3">
        <f>E27-F27</f>
        <v>-5369283554.3900013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1"/>
        <v>0</v>
      </c>
      <c r="F28" s="2">
        <f>463441064.59+2341392.5</f>
        <v>465782457.08999997</v>
      </c>
      <c r="G28" s="3">
        <f>E28-F28</f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>E30</f>
        <v>17400000000</v>
      </c>
      <c r="F29" s="1">
        <f>F30</f>
        <v>17278000000</v>
      </c>
      <c r="G29" s="53">
        <f>G30</f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1"/>
        <v>17400000000</v>
      </c>
      <c r="F30" s="2">
        <v>17278000000</v>
      </c>
      <c r="G30" s="3">
        <f>E30-F30</f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1"/>
        <v>0</v>
      </c>
      <c r="F31" s="1">
        <f>F32</f>
        <v>329467448.48000002</v>
      </c>
      <c r="G31" s="53">
        <f>+E31-F31</f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1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53">
        <f>G34+G35+G36</f>
        <v>-329467448.48000002</v>
      </c>
    </row>
    <row r="34" spans="1:9" ht="27.7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1"/>
        <v>0</v>
      </c>
      <c r="F34" s="2">
        <f>228546742.66+10222866.04</f>
        <v>238769608.69999999</v>
      </c>
      <c r="G34" s="3">
        <f>E34-F34</f>
        <v>-238769608.69999999</v>
      </c>
    </row>
    <row r="35" spans="1:9" ht="27" customHeight="1" x14ac:dyDescent="0.25">
      <c r="A35" s="4">
        <v>325511</v>
      </c>
      <c r="B35" s="57" t="s">
        <v>63</v>
      </c>
      <c r="C35" s="2">
        <v>0</v>
      </c>
      <c r="D35" s="2">
        <v>0</v>
      </c>
      <c r="E35" s="1">
        <f t="shared" si="1"/>
        <v>0</v>
      </c>
      <c r="F35" s="2">
        <v>7215972.7800000003</v>
      </c>
      <c r="G35" s="3">
        <f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3">
        <f>E36-F36</f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500313184223.27002</v>
      </c>
      <c r="G37" s="53">
        <f>G38+G39+G40</f>
        <v>1385981716899.73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1"/>
        <v>1741080189</v>
      </c>
      <c r="F38" s="106">
        <v>1200000000</v>
      </c>
      <c r="G38" s="3">
        <f>E38-F38</f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1"/>
        <v>666693528550</v>
      </c>
      <c r="F39" s="107">
        <v>497313883000.75</v>
      </c>
      <c r="G39" s="3">
        <f>E39-F39</f>
        <v>169379645549.25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108">
        <v>1799301222.52</v>
      </c>
      <c r="G40" s="3">
        <f>E40-F40</f>
        <v>1216060991161.48</v>
      </c>
      <c r="H40" s="7"/>
      <c r="I40" s="7"/>
    </row>
    <row r="41" spans="1:9" s="11" customFormat="1" ht="18" customHeight="1" thickBot="1" x14ac:dyDescent="0.3">
      <c r="A41" s="148" t="s">
        <v>36</v>
      </c>
      <c r="B41" s="149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658115191497.34009</v>
      </c>
      <c r="G41" s="60">
        <f>G7+G37</f>
        <v>1499125452291.6599</v>
      </c>
      <c r="H41" s="12"/>
      <c r="I41" s="13"/>
    </row>
    <row r="42" spans="1:9" ht="42" customHeight="1" x14ac:dyDescent="0.25">
      <c r="A42" s="150" t="s">
        <v>67</v>
      </c>
      <c r="B42" s="151"/>
      <c r="C42" s="151"/>
      <c r="D42" s="151"/>
      <c r="E42" s="151"/>
      <c r="F42" s="151"/>
      <c r="G42" s="152"/>
    </row>
    <row r="43" spans="1:9" ht="7.5" customHeight="1" x14ac:dyDescent="0.25">
      <c r="A43" s="38"/>
      <c r="B43" s="39"/>
      <c r="C43" s="39"/>
      <c r="D43" s="41"/>
      <c r="E43" s="41"/>
      <c r="F43" s="39"/>
      <c r="G43" s="42"/>
    </row>
    <row r="44" spans="1:9" ht="21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7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/>
  <pageMargins left="0.31496062992125984" right="0.11811023622047245" top="0.39370078740157483" bottom="0.15748031496062992" header="0.31496062992125984" footer="0.31496062992125984"/>
  <pageSetup scale="63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34"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1" t="s">
        <v>0</v>
      </c>
      <c r="B1" s="162"/>
      <c r="C1" s="162"/>
      <c r="D1" s="162"/>
      <c r="E1" s="162"/>
      <c r="F1" s="162"/>
      <c r="G1" s="163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68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173111098390.35001</v>
      </c>
      <c r="G7" s="112">
        <f>G8+G24</f>
        <v>97834644275.649994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143735836278.47</v>
      </c>
      <c r="G8" s="113">
        <f t="shared" si="0"/>
        <v>104037867687.53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143735836278.47</v>
      </c>
      <c r="G9" s="113">
        <f>G10+G16</f>
        <v>104037867687.53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8019613730.4400005</v>
      </c>
      <c r="G10" s="113">
        <f>+G11+G14</f>
        <v>30807386269.560001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7894269696.4400005</v>
      </c>
      <c r="G11" s="113">
        <f>SUM(G12:G13)</f>
        <v>30932730303.560001</v>
      </c>
    </row>
    <row r="12" spans="1:9" s="11" customFormat="1" ht="18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8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v>553987977.44000006</v>
      </c>
      <c r="G13" s="117">
        <f>E13-F13</f>
        <v>227012022.55999994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125344034</v>
      </c>
      <c r="G14" s="113">
        <f>G15</f>
        <v>-125344034</v>
      </c>
    </row>
    <row r="15" spans="1:9" ht="18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v>125344034</v>
      </c>
      <c r="G15" s="117">
        <f>E15-F15</f>
        <v>-125344034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135716222548.03</v>
      </c>
      <c r="G16" s="113">
        <f>+G17+G19</f>
        <v>73230481417.970001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117376162999.37</v>
      </c>
      <c r="G17" s="113">
        <f>+G18</f>
        <v>84565540966.630005</v>
      </c>
      <c r="I17" s="12"/>
    </row>
    <row r="18" spans="1:9" ht="18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v>117376162999.37</v>
      </c>
      <c r="G18" s="117">
        <f>E18-F18</f>
        <v>84565540966.630005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>E20+E21+E22+E23</f>
        <v>7005000000</v>
      </c>
      <c r="F19" s="121">
        <f>F20+F21+F22+F23</f>
        <v>18340059548.66</v>
      </c>
      <c r="G19" s="113">
        <f>SUM(G20:G23)</f>
        <v>-11335059548.66</v>
      </c>
    </row>
    <row r="20" spans="1:9" ht="18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>E20-F20</f>
        <v>-11265619693.139999</v>
      </c>
    </row>
    <row r="21" spans="1:9" ht="18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v>1567139</v>
      </c>
      <c r="G21" s="117">
        <f>E21-F21</f>
        <v>-1567139</v>
      </c>
    </row>
    <row r="22" spans="1:9" ht="18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>E22-F22</f>
        <v>-66900000</v>
      </c>
    </row>
    <row r="23" spans="1:9" ht="18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v>5972716.5199999996</v>
      </c>
      <c r="G23" s="117">
        <f>E23-F23</f>
        <v>-972716.51999999955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29375262111.880001</v>
      </c>
      <c r="G24" s="113">
        <f t="shared" ref="G24:G32" si="2">+E24-F24</f>
        <v>-6203223411.8800011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11767794663.400002</v>
      </c>
      <c r="G25" s="123">
        <f>G26+G27+G28</f>
        <v>-5995755963.4000006</v>
      </c>
    </row>
    <row r="26" spans="1:9" ht="18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v>25617011.699999999</v>
      </c>
      <c r="G26" s="117">
        <f>E26-F26</f>
        <v>14382988.300000001</v>
      </c>
      <c r="H26" s="7"/>
    </row>
    <row r="27" spans="1:9" ht="18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v>11276395194.610001</v>
      </c>
      <c r="G27" s="117">
        <f>E27-F27</f>
        <v>-5544356494.6100006</v>
      </c>
    </row>
    <row r="28" spans="1:9" ht="18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>E30</f>
        <v>17400000000</v>
      </c>
      <c r="F29" s="111">
        <f>F30</f>
        <v>17278000000</v>
      </c>
      <c r="G29" s="113">
        <f>G30</f>
        <v>122000000</v>
      </c>
    </row>
    <row r="30" spans="1:9" ht="18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2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>E34+E35+E36</f>
        <v>0</v>
      </c>
      <c r="F33" s="111">
        <f>F34+F35+F36</f>
        <v>329467448.48000002</v>
      </c>
      <c r="G33" s="113">
        <f>G34+G35+G36</f>
        <v>-329467448.48000002</v>
      </c>
    </row>
    <row r="34" spans="1:9" ht="27.7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>E34-F34</f>
        <v>-238769608.69999999</v>
      </c>
    </row>
    <row r="35" spans="1:9" ht="27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>E35-F35</f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>E36-F36</f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500649602480.25</v>
      </c>
      <c r="G37" s="113">
        <f>G38+G39+G40</f>
        <v>1385645298642.75</v>
      </c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>E38-F38</f>
        <v>541080189</v>
      </c>
      <c r="H38" s="7"/>
      <c r="I38" s="7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>E39-F39</f>
        <v>169379645549.25</v>
      </c>
      <c r="H39" s="7"/>
      <c r="I39" s="7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v>2135719479.5</v>
      </c>
      <c r="G40" s="117">
        <f>E40-F40</f>
        <v>1215724572904.5</v>
      </c>
      <c r="H40" s="7"/>
      <c r="I40" s="7"/>
    </row>
    <row r="41" spans="1:9" s="11" customFormat="1" ht="18" customHeight="1" thickBot="1" x14ac:dyDescent="0.3">
      <c r="A41" s="164" t="s">
        <v>36</v>
      </c>
      <c r="B41" s="165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673760700870.59998</v>
      </c>
      <c r="G41" s="131">
        <f>G7+G37</f>
        <v>1483479942918.3999</v>
      </c>
      <c r="H41" s="12"/>
      <c r="I41" s="13"/>
    </row>
    <row r="42" spans="1:9" ht="42" customHeight="1" x14ac:dyDescent="0.25">
      <c r="A42" s="150" t="s">
        <v>69</v>
      </c>
      <c r="B42" s="151"/>
      <c r="C42" s="151"/>
      <c r="D42" s="151"/>
      <c r="E42" s="151"/>
      <c r="F42" s="151"/>
      <c r="G42" s="152"/>
    </row>
    <row r="43" spans="1:9" ht="12" customHeight="1" x14ac:dyDescent="0.25">
      <c r="A43" s="38"/>
      <c r="B43" s="39"/>
      <c r="C43" s="39"/>
      <c r="D43" s="41"/>
      <c r="E43" s="41"/>
      <c r="F43" s="39"/>
      <c r="G43" s="4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5" zoomScaleNormal="100" workbookViewId="0">
      <selection activeCell="F16" sqref="F1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61" t="s">
        <v>0</v>
      </c>
      <c r="B1" s="162"/>
      <c r="C1" s="162"/>
      <c r="D1" s="162"/>
      <c r="E1" s="162"/>
      <c r="F1" s="162"/>
      <c r="G1" s="163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70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189181286739.81</v>
      </c>
      <c r="G7" s="112">
        <f>G8+G24</f>
        <v>81764455926.190002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159794899368.13</v>
      </c>
      <c r="G8" s="113">
        <f t="shared" si="0"/>
        <v>87978804597.87001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159794899368.13</v>
      </c>
      <c r="G9" s="113">
        <f>G10+G16</f>
        <v>87978804597.87001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8133134735.4400005</v>
      </c>
      <c r="G10" s="113">
        <f>+G11+G14</f>
        <v>30693865264.560001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8004331956.4400005</v>
      </c>
      <c r="G11" s="113">
        <f>SUM(G12:G13)</f>
        <v>30822668043.560001</v>
      </c>
    </row>
    <row r="12" spans="1:9" s="11" customFormat="1" ht="14.25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4.25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f>553987977.44+110062260</f>
        <v>664050237.44000006</v>
      </c>
      <c r="G13" s="117">
        <f>E13-F13</f>
        <v>116949762.55999994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128802779</v>
      </c>
      <c r="G14" s="117">
        <f>E14-F14</f>
        <v>-128802779</v>
      </c>
    </row>
    <row r="15" spans="1:9" ht="15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f>125344034+3458745</f>
        <v>128802779</v>
      </c>
      <c r="G15" s="117">
        <f>E15-F15</f>
        <v>-128802779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151661764632.69</v>
      </c>
      <c r="G16" s="113">
        <f>+G17+G19</f>
        <v>57284939333.310005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133309985799.37</v>
      </c>
      <c r="G17" s="113">
        <f>+G18</f>
        <v>68631718166.630005</v>
      </c>
      <c r="I17" s="12"/>
    </row>
    <row r="18" spans="1:9" ht="13.5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f>117376162999.37+15933822800</f>
        <v>133309985799.37</v>
      </c>
      <c r="G18" s="117">
        <f t="shared" ref="G18:G23" si="2">E18-F18</f>
        <v>68631718166.630005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 t="shared" si="1"/>
        <v>7005000000</v>
      </c>
      <c r="F19" s="121">
        <f>F20+F21+F22+F23</f>
        <v>18351778833.32</v>
      </c>
      <c r="G19" s="117">
        <f t="shared" si="2"/>
        <v>-11346778833.32</v>
      </c>
    </row>
    <row r="20" spans="1:9" ht="15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 t="shared" si="2"/>
        <v>-11265619693.139999</v>
      </c>
    </row>
    <row r="21" spans="1:9" ht="15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f>1567139+10957069.66</f>
        <v>12524208.66</v>
      </c>
      <c r="G21" s="117">
        <f t="shared" si="2"/>
        <v>-12524208.66</v>
      </c>
    </row>
    <row r="22" spans="1:9" ht="15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 t="shared" si="2"/>
        <v>-66900000</v>
      </c>
    </row>
    <row r="23" spans="1:9" ht="15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f>5972716.52+762215</f>
        <v>6734931.5199999996</v>
      </c>
      <c r="G23" s="117">
        <f t="shared" si="2"/>
        <v>-1734931.5199999996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29386387371.68</v>
      </c>
      <c r="G24" s="113">
        <f t="shared" ref="G24:G32" si="3">+E24-F24</f>
        <v>-6214348671.6800003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11778919923.200001</v>
      </c>
      <c r="G25" s="123">
        <f>G26+G27+G28</f>
        <v>-6006881223.1999998</v>
      </c>
    </row>
    <row r="26" spans="1:9" ht="15.75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f>25617011.7+2559266.09</f>
        <v>28176277.789999999</v>
      </c>
      <c r="G26" s="117">
        <f>E26-F26</f>
        <v>11823722.210000001</v>
      </c>
      <c r="H26" s="7"/>
    </row>
    <row r="27" spans="1:9" ht="15.75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f>11276395194.61+8565993.71</f>
        <v>11284961188.32</v>
      </c>
      <c r="G27" s="117">
        <f>E27-F27</f>
        <v>-5552922488.3199997</v>
      </c>
    </row>
    <row r="28" spans="1:9" ht="15.75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 t="shared" si="1"/>
        <v>17400000000</v>
      </c>
      <c r="F29" s="111">
        <f>F30</f>
        <v>17278000000</v>
      </c>
      <c r="G29" s="117">
        <f>E29-F29</f>
        <v>122000000</v>
      </c>
    </row>
    <row r="30" spans="1:9" ht="14.25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3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 t="shared" si="1"/>
        <v>0</v>
      </c>
      <c r="F33" s="111">
        <f>F34+F35+F36</f>
        <v>329467448.48000002</v>
      </c>
      <c r="G33" s="113">
        <f>G34+G35+G36</f>
        <v>-329467448.48000002</v>
      </c>
    </row>
    <row r="34" spans="1:9" ht="26.2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 t="shared" ref="G34:G40" si="4">E34-F34</f>
        <v>-238769608.69999999</v>
      </c>
    </row>
    <row r="35" spans="1:9" ht="24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 t="shared" si="4"/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 t="shared" si="4"/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501255629812.66998</v>
      </c>
      <c r="G37" s="113">
        <f t="shared" si="4"/>
        <v>1385039271310.3301</v>
      </c>
      <c r="H37" s="12"/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 t="shared" si="4"/>
        <v>541080189</v>
      </c>
      <c r="H38" s="7"/>
      <c r="I38" s="133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 t="shared" si="4"/>
        <v>169379645549.25</v>
      </c>
      <c r="H39" s="7"/>
      <c r="I39" s="132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f>2135719479.5+606027332.42</f>
        <v>2741746811.9200001</v>
      </c>
      <c r="G40" s="117">
        <f t="shared" si="4"/>
        <v>1215118545572.0801</v>
      </c>
      <c r="H40" s="7"/>
      <c r="I40" s="132"/>
    </row>
    <row r="41" spans="1:9" s="11" customFormat="1" ht="18" customHeight="1" thickBot="1" x14ac:dyDescent="0.3">
      <c r="A41" s="164" t="s">
        <v>36</v>
      </c>
      <c r="B41" s="165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690436916552.47998</v>
      </c>
      <c r="G41" s="131">
        <f>G7+G37</f>
        <v>1466803727236.52</v>
      </c>
      <c r="H41" s="12"/>
      <c r="I41" s="132"/>
    </row>
    <row r="42" spans="1:9" ht="42" customHeight="1" x14ac:dyDescent="0.25">
      <c r="A42" s="150" t="s">
        <v>69</v>
      </c>
      <c r="B42" s="151"/>
      <c r="C42" s="151"/>
      <c r="D42" s="151"/>
      <c r="E42" s="151"/>
      <c r="F42" s="151"/>
      <c r="G42" s="152"/>
      <c r="I42" s="132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  <c r="I44" s="132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  <c r="I45" s="132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  <c r="I46" s="132"/>
    </row>
    <row r="47" spans="1:9" ht="16.5" customHeight="1" x14ac:dyDescent="0.25">
      <c r="A47" s="16"/>
      <c r="G47" s="19"/>
      <c r="I47" s="134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  <c r="I48" s="132"/>
    </row>
    <row r="49" spans="1:9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  <c r="I49" s="132"/>
    </row>
    <row r="50" spans="1:9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  <c r="I50" s="132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3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2018-12-14T16:03:42Z</cp:lastPrinted>
  <dcterms:created xsi:type="dcterms:W3CDTF">2018-02-19T16:24:13Z</dcterms:created>
  <dcterms:modified xsi:type="dcterms:W3CDTF">2018-12-14T16:06:02Z</dcterms:modified>
</cp:coreProperties>
</file>