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tabRatio="721" firstSheet="2" activeTab="11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  <sheet name="DICIEMBRE" sheetId="14" r:id="rId12"/>
  </sheets>
  <definedNames>
    <definedName name="_xlnm.Print_Area" localSheetId="3">ABRIL!$A$1:$G$51</definedName>
    <definedName name="_xlnm.Print_Area" localSheetId="7">AGOSTO!$A$1:$G$51</definedName>
    <definedName name="_xlnm.Print_Area" localSheetId="11">DICIEMBRE!$A$1:$G$54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  <definedName name="_xlnm.Print_Area" localSheetId="10">NOVIEMBRE!$A$1:$G$51</definedName>
    <definedName name="_xlnm.Print_Area" localSheetId="9">OCTUBRE!$A$1:$G$51</definedName>
    <definedName name="_xlnm.Print_Area" localSheetId="8">SEPTIEMBRE!$A$1:$G$51</definedName>
    <definedName name="_xlnm.Print_Titles" localSheetId="11">DICIEMBRE!$1:$6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4" l="1"/>
  <c r="F39" i="14"/>
  <c r="E18" i="14" l="1"/>
  <c r="D30" i="14" l="1"/>
  <c r="F12" i="14"/>
  <c r="F13" i="14"/>
  <c r="F11" i="14" s="1"/>
  <c r="F15" i="14"/>
  <c r="F18" i="14"/>
  <c r="F17" i="14" s="1"/>
  <c r="F20" i="14"/>
  <c r="F21" i="14"/>
  <c r="F23" i="14"/>
  <c r="F26" i="14"/>
  <c r="F27" i="14"/>
  <c r="F34" i="14"/>
  <c r="E40" i="14"/>
  <c r="G40" i="14" s="1"/>
  <c r="E39" i="14"/>
  <c r="G39" i="14" s="1"/>
  <c r="E38" i="14"/>
  <c r="G38" i="14" s="1"/>
  <c r="F37" i="14"/>
  <c r="D37" i="14"/>
  <c r="C37" i="14"/>
  <c r="G36" i="14"/>
  <c r="E35" i="14"/>
  <c r="G35" i="14" s="1"/>
  <c r="E34" i="14"/>
  <c r="D33" i="14"/>
  <c r="D32" i="14" s="1"/>
  <c r="C33" i="14"/>
  <c r="C32" i="14" s="1"/>
  <c r="E31" i="14"/>
  <c r="G31" i="14" s="1"/>
  <c r="F30" i="14"/>
  <c r="C30" i="14"/>
  <c r="E28" i="14"/>
  <c r="G28" i="14" s="1"/>
  <c r="E27" i="14"/>
  <c r="G27" i="14" s="1"/>
  <c r="E26" i="14"/>
  <c r="D25" i="14"/>
  <c r="D24" i="14" s="1"/>
  <c r="C25" i="14"/>
  <c r="E23" i="14"/>
  <c r="G23" i="14" s="1"/>
  <c r="E22" i="14"/>
  <c r="G22" i="14" s="1"/>
  <c r="E21" i="14"/>
  <c r="G21" i="14" s="1"/>
  <c r="E20" i="14"/>
  <c r="D19" i="14"/>
  <c r="C19" i="14"/>
  <c r="D17" i="14"/>
  <c r="C17" i="14"/>
  <c r="E15" i="14"/>
  <c r="G15" i="14" s="1"/>
  <c r="F14" i="14"/>
  <c r="D14" i="14"/>
  <c r="E14" i="14" s="1"/>
  <c r="C14" i="14"/>
  <c r="E13" i="14"/>
  <c r="E12" i="14"/>
  <c r="G12" i="14" s="1"/>
  <c r="D11" i="14"/>
  <c r="D10" i="14" s="1"/>
  <c r="D9" i="14" s="1"/>
  <c r="D8" i="14" s="1"/>
  <c r="C11" i="14"/>
  <c r="C10" i="14"/>
  <c r="G13" i="14" l="1"/>
  <c r="E33" i="14"/>
  <c r="D29" i="14"/>
  <c r="C16" i="14"/>
  <c r="E16" i="14" s="1"/>
  <c r="E17" i="14"/>
  <c r="C24" i="14"/>
  <c r="E32" i="14"/>
  <c r="G32" i="14" s="1"/>
  <c r="E19" i="14"/>
  <c r="G20" i="14"/>
  <c r="G34" i="14"/>
  <c r="D7" i="14"/>
  <c r="D41" i="14" s="1"/>
  <c r="E30" i="14"/>
  <c r="G30" i="14" s="1"/>
  <c r="F10" i="14"/>
  <c r="G14" i="14"/>
  <c r="G18" i="14"/>
  <c r="F19" i="14"/>
  <c r="G19" i="14" s="1"/>
  <c r="G26" i="14"/>
  <c r="F25" i="14"/>
  <c r="G17" i="14"/>
  <c r="C29" i="14"/>
  <c r="E29" i="14" s="1"/>
  <c r="E25" i="14"/>
  <c r="E11" i="14"/>
  <c r="G11" i="14" s="1"/>
  <c r="E37" i="14"/>
  <c r="G37" i="14" s="1"/>
  <c r="F33" i="14"/>
  <c r="F32" i="14" s="1"/>
  <c r="F29" i="14" s="1"/>
  <c r="G41" i="13"/>
  <c r="G33" i="13"/>
  <c r="G25" i="13"/>
  <c r="G20" i="13"/>
  <c r="G19" i="13"/>
  <c r="G18" i="13"/>
  <c r="G17" i="13"/>
  <c r="G16" i="13"/>
  <c r="G13" i="13"/>
  <c r="G12" i="13"/>
  <c r="G11" i="13"/>
  <c r="G10" i="13"/>
  <c r="G9" i="13"/>
  <c r="G8" i="13"/>
  <c r="G7" i="13"/>
  <c r="G41" i="12"/>
  <c r="F41" i="12"/>
  <c r="G33" i="12"/>
  <c r="G29" i="12"/>
  <c r="G25" i="12"/>
  <c r="G17" i="12"/>
  <c r="G16" i="12"/>
  <c r="G11" i="12"/>
  <c r="G10" i="12"/>
  <c r="G9" i="12"/>
  <c r="G8" i="12"/>
  <c r="G7" i="12"/>
  <c r="G41" i="11"/>
  <c r="G36" i="11"/>
  <c r="G35" i="11"/>
  <c r="G34" i="11"/>
  <c r="G33" i="11"/>
  <c r="G29" i="11"/>
  <c r="G25" i="11"/>
  <c r="G18" i="11"/>
  <c r="G17" i="11"/>
  <c r="G16" i="11"/>
  <c r="G11" i="11"/>
  <c r="G10" i="11"/>
  <c r="G9" i="11"/>
  <c r="G8" i="11"/>
  <c r="G7" i="11"/>
  <c r="G8" i="10"/>
  <c r="G14" i="10"/>
  <c r="G30" i="10"/>
  <c r="G7" i="7"/>
  <c r="G35" i="10"/>
  <c r="G36" i="10"/>
  <c r="G34" i="10"/>
  <c r="G33" i="10"/>
  <c r="G32" i="10"/>
  <c r="G31" i="10"/>
  <c r="G25" i="10"/>
  <c r="G20" i="10"/>
  <c r="G19" i="10"/>
  <c r="G17" i="10"/>
  <c r="G16" i="10"/>
  <c r="G11" i="10"/>
  <c r="G10" i="10"/>
  <c r="G9" i="10"/>
  <c r="G7" i="10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29" i="13"/>
  <c r="G29" i="10"/>
  <c r="F29" i="10"/>
  <c r="C29" i="10"/>
  <c r="G7" i="9"/>
  <c r="F24" i="9"/>
  <c r="F29" i="9"/>
  <c r="C29" i="9"/>
  <c r="G36" i="7"/>
  <c r="G13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7" i="7"/>
  <c r="G38" i="7"/>
  <c r="G39" i="7"/>
  <c r="G40" i="7"/>
  <c r="G41" i="7"/>
  <c r="G29" i="1"/>
  <c r="G31" i="2"/>
  <c r="G29" i="3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7" i="4"/>
  <c r="G29" i="8"/>
  <c r="D29" i="7"/>
  <c r="E29" i="7"/>
  <c r="F29" i="7"/>
  <c r="C29" i="7"/>
  <c r="F25" i="8"/>
  <c r="F24" i="8"/>
  <c r="D29" i="8"/>
  <c r="E29" i="8"/>
  <c r="F29" i="8"/>
  <c r="C29" i="8"/>
  <c r="F29" i="4"/>
  <c r="F24" i="4"/>
  <c r="D29" i="4"/>
  <c r="E29" i="4"/>
  <c r="C29" i="4"/>
  <c r="G11" i="3"/>
  <c r="G25" i="3"/>
  <c r="G24" i="3"/>
  <c r="F24" i="3"/>
  <c r="F29" i="3"/>
  <c r="D29" i="3"/>
  <c r="E29" i="3"/>
  <c r="C29" i="3"/>
  <c r="F31" i="2"/>
  <c r="F26" i="2"/>
  <c r="F9" i="2"/>
  <c r="G35" i="2"/>
  <c r="G34" i="2"/>
  <c r="G33" i="2"/>
  <c r="G32" i="2"/>
  <c r="D31" i="2"/>
  <c r="E31" i="2"/>
  <c r="C31" i="2"/>
  <c r="G25" i="1"/>
  <c r="G26" i="1"/>
  <c r="G27" i="1"/>
  <c r="G28" i="1"/>
  <c r="G30" i="1"/>
  <c r="G31" i="1"/>
  <c r="G32" i="1"/>
  <c r="G33" i="1"/>
  <c r="G24" i="1"/>
  <c r="F24" i="1"/>
  <c r="F9" i="1"/>
  <c r="F29" i="1"/>
  <c r="D29" i="1"/>
  <c r="E29" i="1"/>
  <c r="C29" i="1"/>
  <c r="D29" i="11"/>
  <c r="E29" i="11"/>
  <c r="F29" i="11"/>
  <c r="C29" i="11"/>
  <c r="D29" i="12"/>
  <c r="E29" i="12"/>
  <c r="F29" i="12"/>
  <c r="C29" i="12"/>
  <c r="F29" i="13"/>
  <c r="C29" i="13"/>
  <c r="C9" i="14" l="1"/>
  <c r="C8" i="14" s="1"/>
  <c r="C7" i="14" s="1"/>
  <c r="C41" i="14" s="1"/>
  <c r="E24" i="14"/>
  <c r="F16" i="14"/>
  <c r="F9" i="14" s="1"/>
  <c r="F8" i="14" s="1"/>
  <c r="E10" i="14"/>
  <c r="E9" i="14" s="1"/>
  <c r="G29" i="14"/>
  <c r="F24" i="14"/>
  <c r="G25" i="14"/>
  <c r="G33" i="14"/>
  <c r="F13" i="13"/>
  <c r="F15" i="13"/>
  <c r="F18" i="13"/>
  <c r="F23" i="13"/>
  <c r="F26" i="13"/>
  <c r="F25" i="13" s="1"/>
  <c r="F27" i="13"/>
  <c r="F34" i="13"/>
  <c r="F33" i="13" s="1"/>
  <c r="F32" i="13" s="1"/>
  <c r="D40" i="13"/>
  <c r="E40" i="13" s="1"/>
  <c r="G40" i="13" s="1"/>
  <c r="G39" i="13"/>
  <c r="E39" i="13"/>
  <c r="E38" i="13"/>
  <c r="G38" i="13" s="1"/>
  <c r="F37" i="13"/>
  <c r="C37" i="13"/>
  <c r="G36" i="13"/>
  <c r="E35" i="13"/>
  <c r="G35" i="13" s="1"/>
  <c r="E34" i="13"/>
  <c r="D33" i="13"/>
  <c r="D32" i="13" s="1"/>
  <c r="C33" i="13"/>
  <c r="C32" i="13" s="1"/>
  <c r="E31" i="13"/>
  <c r="G31" i="13" s="1"/>
  <c r="F30" i="13"/>
  <c r="D30" i="13"/>
  <c r="C30" i="13"/>
  <c r="E28" i="13"/>
  <c r="G28" i="13" s="1"/>
  <c r="E27" i="13"/>
  <c r="G27" i="13" s="1"/>
  <c r="E26" i="13"/>
  <c r="G26" i="13" s="1"/>
  <c r="D25" i="13"/>
  <c r="D24" i="13" s="1"/>
  <c r="C25" i="13"/>
  <c r="E23" i="13"/>
  <c r="E22" i="13"/>
  <c r="G22" i="13" s="1"/>
  <c r="F21" i="13"/>
  <c r="E21" i="13"/>
  <c r="E20" i="13"/>
  <c r="D19" i="13"/>
  <c r="C19" i="13"/>
  <c r="E18" i="13"/>
  <c r="E17" i="13" s="1"/>
  <c r="F17" i="13"/>
  <c r="D17" i="13"/>
  <c r="D16" i="13" s="1"/>
  <c r="C17" i="13"/>
  <c r="C16" i="13" s="1"/>
  <c r="F14" i="13"/>
  <c r="E15" i="13"/>
  <c r="G15" i="13" s="1"/>
  <c r="D14" i="13"/>
  <c r="D10" i="13" s="1"/>
  <c r="C14" i="13"/>
  <c r="E13" i="13"/>
  <c r="E12" i="13"/>
  <c r="F11" i="13"/>
  <c r="F10" i="13" s="1"/>
  <c r="D11" i="13"/>
  <c r="C11" i="13"/>
  <c r="C10" i="13"/>
  <c r="F7" i="14" l="1"/>
  <c r="F41" i="14" s="1"/>
  <c r="G16" i="14"/>
  <c r="G24" i="14"/>
  <c r="G10" i="14"/>
  <c r="E30" i="13"/>
  <c r="G30" i="13" s="1"/>
  <c r="E19" i="13"/>
  <c r="F19" i="13"/>
  <c r="D9" i="13"/>
  <c r="D8" i="13" s="1"/>
  <c r="D7" i="13" s="1"/>
  <c r="C24" i="13"/>
  <c r="E11" i="13"/>
  <c r="E10" i="13" s="1"/>
  <c r="E9" i="13" s="1"/>
  <c r="E8" i="13" s="1"/>
  <c r="E33" i="13"/>
  <c r="E14" i="13"/>
  <c r="E16" i="13"/>
  <c r="G21" i="13"/>
  <c r="E25" i="13"/>
  <c r="D37" i="13"/>
  <c r="F16" i="13"/>
  <c r="F9" i="13" s="1"/>
  <c r="F8" i="13" s="1"/>
  <c r="G23" i="13"/>
  <c r="G34" i="13"/>
  <c r="F24" i="13"/>
  <c r="E32" i="13"/>
  <c r="G32" i="13" s="1"/>
  <c r="D29" i="13"/>
  <c r="E29" i="13" s="1"/>
  <c r="C9" i="13"/>
  <c r="C8" i="13" s="1"/>
  <c r="C7" i="13" s="1"/>
  <c r="C41" i="13" s="1"/>
  <c r="G14" i="13"/>
  <c r="E37" i="13"/>
  <c r="G37" i="13" s="1"/>
  <c r="F13" i="12"/>
  <c r="F15" i="12"/>
  <c r="F18" i="12"/>
  <c r="F21" i="12"/>
  <c r="F19" i="12" s="1"/>
  <c r="F23" i="12"/>
  <c r="F26" i="12"/>
  <c r="F27" i="12"/>
  <c r="E8" i="14" l="1"/>
  <c r="G9" i="14"/>
  <c r="E24" i="13"/>
  <c r="E7" i="13" s="1"/>
  <c r="E41" i="13" s="1"/>
  <c r="D41" i="13"/>
  <c r="F7" i="13"/>
  <c r="F41" i="13" s="1"/>
  <c r="G24" i="13"/>
  <c r="D40" i="12"/>
  <c r="E40" i="12" s="1"/>
  <c r="G40" i="12" s="1"/>
  <c r="E39" i="12"/>
  <c r="G39" i="12" s="1"/>
  <c r="E38" i="12"/>
  <c r="G38" i="12" s="1"/>
  <c r="F37" i="12"/>
  <c r="C37" i="12"/>
  <c r="G36" i="12"/>
  <c r="E35" i="12"/>
  <c r="G35" i="12" s="1"/>
  <c r="E34" i="12"/>
  <c r="G34" i="12" s="1"/>
  <c r="F33" i="12"/>
  <c r="D33" i="12"/>
  <c r="C33" i="12"/>
  <c r="E33" i="12" s="1"/>
  <c r="F32" i="12"/>
  <c r="D32" i="12"/>
  <c r="E31" i="12"/>
  <c r="G31" i="12" s="1"/>
  <c r="F30" i="12"/>
  <c r="D30" i="12"/>
  <c r="D24" i="12" s="1"/>
  <c r="C30" i="12"/>
  <c r="G28" i="12"/>
  <c r="E28" i="12"/>
  <c r="E27" i="12"/>
  <c r="G27" i="12" s="1"/>
  <c r="F25" i="12"/>
  <c r="F24" i="12" s="1"/>
  <c r="E26" i="12"/>
  <c r="G26" i="12" s="1"/>
  <c r="D25" i="12"/>
  <c r="C25" i="12"/>
  <c r="E23" i="12"/>
  <c r="G23" i="12" s="1"/>
  <c r="E22" i="12"/>
  <c r="G22" i="12" s="1"/>
  <c r="E21" i="12"/>
  <c r="G21" i="12" s="1"/>
  <c r="E20" i="12"/>
  <c r="G20" i="12" s="1"/>
  <c r="D19" i="12"/>
  <c r="C19" i="12"/>
  <c r="F17" i="12"/>
  <c r="E18" i="12"/>
  <c r="G18" i="12" s="1"/>
  <c r="D17" i="12"/>
  <c r="C17" i="12"/>
  <c r="C16" i="12" s="1"/>
  <c r="D16" i="12"/>
  <c r="F14" i="12"/>
  <c r="E15" i="12"/>
  <c r="G15" i="12" s="1"/>
  <c r="D14" i="12"/>
  <c r="C14" i="12"/>
  <c r="C10" i="12" s="1"/>
  <c r="C9" i="12" s="1"/>
  <c r="C8" i="12" s="1"/>
  <c r="E13" i="12"/>
  <c r="G13" i="12" s="1"/>
  <c r="E12" i="12"/>
  <c r="G12" i="12" s="1"/>
  <c r="F11" i="12"/>
  <c r="F10" i="12" s="1"/>
  <c r="D11" i="12"/>
  <c r="C11" i="12"/>
  <c r="E7" i="14" l="1"/>
  <c r="E41" i="14" s="1"/>
  <c r="G41" i="14" s="1"/>
  <c r="G8" i="14"/>
  <c r="E30" i="12"/>
  <c r="G30" i="12" s="1"/>
  <c r="D37" i="12"/>
  <c r="E14" i="12"/>
  <c r="G14" i="12" s="1"/>
  <c r="E19" i="12"/>
  <c r="C32" i="12"/>
  <c r="D10" i="12"/>
  <c r="D9" i="12" s="1"/>
  <c r="D8" i="12" s="1"/>
  <c r="D7" i="12" s="1"/>
  <c r="D41" i="12" s="1"/>
  <c r="E17" i="12"/>
  <c r="E16" i="12" s="1"/>
  <c r="E25" i="12"/>
  <c r="E37" i="12"/>
  <c r="G37" i="12" s="1"/>
  <c r="E11" i="12"/>
  <c r="E10" i="12" s="1"/>
  <c r="G19" i="12"/>
  <c r="G7" i="14" l="1"/>
  <c r="E32" i="12"/>
  <c r="G32" i="12" s="1"/>
  <c r="C24" i="12"/>
  <c r="C7" i="12" s="1"/>
  <c r="C41" i="12" s="1"/>
  <c r="E9" i="12"/>
  <c r="E8" i="12" s="1"/>
  <c r="F16" i="12"/>
  <c r="F9" i="12" s="1"/>
  <c r="F8" i="12" s="1"/>
  <c r="F7" i="12" s="1"/>
  <c r="E24" i="12" l="1"/>
  <c r="G24" i="12" s="1"/>
  <c r="F40" i="11"/>
  <c r="F13" i="11"/>
  <c r="F11" i="11" s="1"/>
  <c r="F15" i="11"/>
  <c r="F18" i="11"/>
  <c r="F21" i="11"/>
  <c r="F23" i="11"/>
  <c r="F19" i="11" s="1"/>
  <c r="F26" i="11"/>
  <c r="F27" i="11"/>
  <c r="D40" i="11"/>
  <c r="E40" i="11" s="1"/>
  <c r="E39" i="11"/>
  <c r="G39" i="11" s="1"/>
  <c r="E38" i="11"/>
  <c r="F37" i="11"/>
  <c r="C37" i="11"/>
  <c r="E35" i="11"/>
  <c r="E34" i="11"/>
  <c r="F33" i="11"/>
  <c r="F32" i="11" s="1"/>
  <c r="D33" i="11"/>
  <c r="D32" i="11" s="1"/>
  <c r="C33" i="11"/>
  <c r="E31" i="11"/>
  <c r="G31" i="11" s="1"/>
  <c r="F30" i="11"/>
  <c r="D30" i="11"/>
  <c r="C30" i="11"/>
  <c r="E30" i="11" s="1"/>
  <c r="G30" i="11" s="1"/>
  <c r="E28" i="11"/>
  <c r="G28" i="11" s="1"/>
  <c r="E27" i="11"/>
  <c r="E26" i="11"/>
  <c r="F25" i="11"/>
  <c r="F24" i="11" s="1"/>
  <c r="E25" i="11"/>
  <c r="D25" i="11"/>
  <c r="C25" i="11"/>
  <c r="D24" i="11"/>
  <c r="E23" i="11"/>
  <c r="G23" i="11" s="1"/>
  <c r="E22" i="11"/>
  <c r="G22" i="11" s="1"/>
  <c r="E21" i="11"/>
  <c r="E20" i="11"/>
  <c r="G20" i="11" s="1"/>
  <c r="D19" i="11"/>
  <c r="C19" i="11"/>
  <c r="E19" i="11" s="1"/>
  <c r="E18" i="11"/>
  <c r="F17" i="11"/>
  <c r="D17" i="11"/>
  <c r="D16" i="11" s="1"/>
  <c r="C17" i="11"/>
  <c r="C16" i="11" s="1"/>
  <c r="E15" i="11"/>
  <c r="G15" i="11" s="1"/>
  <c r="F14" i="11"/>
  <c r="D14" i="11"/>
  <c r="D10" i="11" s="1"/>
  <c r="D9" i="11" s="1"/>
  <c r="D8" i="11" s="1"/>
  <c r="D7" i="11" s="1"/>
  <c r="C14" i="11"/>
  <c r="E13" i="11"/>
  <c r="G13" i="11" s="1"/>
  <c r="G12" i="11"/>
  <c r="E12" i="11"/>
  <c r="E11" i="11"/>
  <c r="D11" i="11"/>
  <c r="C11" i="11"/>
  <c r="C10" i="11" s="1"/>
  <c r="C9" i="11" l="1"/>
  <c r="C8" i="11" s="1"/>
  <c r="E14" i="11"/>
  <c r="G14" i="11" s="1"/>
  <c r="C32" i="11"/>
  <c r="E32" i="11" s="1"/>
  <c r="G32" i="11" s="1"/>
  <c r="E33" i="11"/>
  <c r="D37" i="11"/>
  <c r="D41" i="11" s="1"/>
  <c r="E37" i="11"/>
  <c r="G37" i="11" s="1"/>
  <c r="G21" i="11"/>
  <c r="G19" i="11"/>
  <c r="C24" i="11"/>
  <c r="G26" i="11"/>
  <c r="G38" i="11"/>
  <c r="G27" i="11"/>
  <c r="E7" i="12"/>
  <c r="E41" i="12" s="1"/>
  <c r="G40" i="11"/>
  <c r="F10" i="11"/>
  <c r="F16" i="11"/>
  <c r="C7" i="11"/>
  <c r="C41" i="11" s="1"/>
  <c r="E10" i="11"/>
  <c r="E17" i="11"/>
  <c r="E16" i="11" s="1"/>
  <c r="E24" i="11" l="1"/>
  <c r="G24" i="11" s="1"/>
  <c r="F9" i="11"/>
  <c r="F8" i="11" s="1"/>
  <c r="F7" i="11" s="1"/>
  <c r="F41" i="11" s="1"/>
  <c r="E9" i="11"/>
  <c r="E8" i="11" s="1"/>
  <c r="D40" i="10"/>
  <c r="E40" i="10" s="1"/>
  <c r="G40" i="10" s="1"/>
  <c r="E39" i="10"/>
  <c r="G39" i="10" s="1"/>
  <c r="E38" i="10"/>
  <c r="G38" i="10" s="1"/>
  <c r="G37" i="10" s="1"/>
  <c r="F37" i="10"/>
  <c r="D37" i="10"/>
  <c r="C37" i="10"/>
  <c r="E35" i="10"/>
  <c r="E34" i="10"/>
  <c r="F33" i="10"/>
  <c r="F32" i="10" s="1"/>
  <c r="D33" i="10"/>
  <c r="D32" i="10" s="1"/>
  <c r="C33" i="10"/>
  <c r="C32" i="10" s="1"/>
  <c r="E31" i="10"/>
  <c r="E30" i="10" s="1"/>
  <c r="F30" i="10"/>
  <c r="D30" i="10"/>
  <c r="C30" i="10"/>
  <c r="E28" i="10"/>
  <c r="G28" i="10" s="1"/>
  <c r="E27" i="10"/>
  <c r="G27" i="10" s="1"/>
  <c r="E26" i="10"/>
  <c r="G26" i="10" s="1"/>
  <c r="F25" i="10"/>
  <c r="D25" i="10"/>
  <c r="C25" i="10"/>
  <c r="E23" i="10"/>
  <c r="G23" i="10" s="1"/>
  <c r="E22" i="10"/>
  <c r="G22" i="10" s="1"/>
  <c r="E21" i="10"/>
  <c r="G21" i="10" s="1"/>
  <c r="E20" i="10"/>
  <c r="F19" i="10"/>
  <c r="D19" i="10"/>
  <c r="C19" i="10"/>
  <c r="G18" i="10"/>
  <c r="E18" i="10"/>
  <c r="E17" i="10" s="1"/>
  <c r="F17" i="10"/>
  <c r="F16" i="10" s="1"/>
  <c r="D17" i="10"/>
  <c r="D16" i="10" s="1"/>
  <c r="C17" i="10"/>
  <c r="C16" i="10" s="1"/>
  <c r="E15" i="10"/>
  <c r="G15" i="10" s="1"/>
  <c r="F14" i="10"/>
  <c r="D14" i="10"/>
  <c r="C14" i="10"/>
  <c r="E14" i="10" s="1"/>
  <c r="E13" i="10"/>
  <c r="G13" i="10" s="1"/>
  <c r="E12" i="10"/>
  <c r="G12" i="10" s="1"/>
  <c r="F11" i="10"/>
  <c r="F10" i="10" s="1"/>
  <c r="D11" i="10"/>
  <c r="D10" i="10" s="1"/>
  <c r="C11" i="10"/>
  <c r="C24" i="10" l="1"/>
  <c r="D9" i="10"/>
  <c r="D8" i="10" s="1"/>
  <c r="D7" i="10" s="1"/>
  <c r="D41" i="10" s="1"/>
  <c r="F9" i="10"/>
  <c r="F8" i="10" s="1"/>
  <c r="F7" i="10" s="1"/>
  <c r="F41" i="10" s="1"/>
  <c r="C10" i="10"/>
  <c r="D24" i="10"/>
  <c r="F24" i="10"/>
  <c r="E7" i="11"/>
  <c r="E41" i="11" s="1"/>
  <c r="E32" i="10"/>
  <c r="D29" i="10"/>
  <c r="E29" i="10" s="1"/>
  <c r="C9" i="10"/>
  <c r="C8" i="10" s="1"/>
  <c r="C7" i="10" s="1"/>
  <c r="C41" i="10" s="1"/>
  <c r="E11" i="10"/>
  <c r="E10" i="10" s="1"/>
  <c r="E19" i="10"/>
  <c r="E16" i="10" s="1"/>
  <c r="E37" i="10"/>
  <c r="E25" i="10"/>
  <c r="E33" i="10"/>
  <c r="E24" i="10" l="1"/>
  <c r="G24" i="10" s="1"/>
  <c r="E9" i="10"/>
  <c r="E8" i="10" s="1"/>
  <c r="E7" i="10" s="1"/>
  <c r="E41" i="10" s="1"/>
  <c r="G41" i="10"/>
  <c r="D40" i="9"/>
  <c r="E40" i="9" s="1"/>
  <c r="E39" i="9"/>
  <c r="E38" i="9"/>
  <c r="F37" i="9"/>
  <c r="C37" i="9"/>
  <c r="F36" i="9"/>
  <c r="E35" i="9"/>
  <c r="F34" i="9"/>
  <c r="F33" i="9" s="1"/>
  <c r="F32" i="9" s="1"/>
  <c r="E34" i="9"/>
  <c r="D33" i="9"/>
  <c r="C33" i="9"/>
  <c r="C32" i="9" s="1"/>
  <c r="D32" i="9"/>
  <c r="D29" i="9" s="1"/>
  <c r="E31" i="9"/>
  <c r="F30" i="9"/>
  <c r="D30" i="9"/>
  <c r="C30" i="9"/>
  <c r="F28" i="9"/>
  <c r="E28" i="9"/>
  <c r="F27" i="9"/>
  <c r="E27" i="9"/>
  <c r="F26" i="9"/>
  <c r="E26" i="9"/>
  <c r="F25" i="9"/>
  <c r="D25" i="9"/>
  <c r="C25" i="9"/>
  <c r="F23" i="9"/>
  <c r="E23" i="9"/>
  <c r="E22" i="9"/>
  <c r="E21" i="9"/>
  <c r="F20" i="9"/>
  <c r="F19" i="9" s="1"/>
  <c r="E20" i="9"/>
  <c r="D19" i="9"/>
  <c r="C19" i="9"/>
  <c r="C16" i="9" s="1"/>
  <c r="F18" i="9"/>
  <c r="E18" i="9"/>
  <c r="E17" i="9" s="1"/>
  <c r="F17" i="9"/>
  <c r="D17" i="9"/>
  <c r="D16" i="9" s="1"/>
  <c r="C17" i="9"/>
  <c r="F15" i="9"/>
  <c r="F14" i="9" s="1"/>
  <c r="E15" i="9"/>
  <c r="D14" i="9"/>
  <c r="C14" i="9"/>
  <c r="F13" i="9"/>
  <c r="F11" i="9" s="1"/>
  <c r="E13" i="9"/>
  <c r="E12" i="9"/>
  <c r="E11" i="9" s="1"/>
  <c r="D11" i="9"/>
  <c r="C11" i="9"/>
  <c r="F10" i="9" l="1"/>
  <c r="D37" i="9"/>
  <c r="C10" i="9"/>
  <c r="C9" i="9" s="1"/>
  <c r="C8" i="9" s="1"/>
  <c r="C7" i="9" s="1"/>
  <c r="C41" i="9" s="1"/>
  <c r="F16" i="9"/>
  <c r="D24" i="9"/>
  <c r="D10" i="9"/>
  <c r="D9" i="9" s="1"/>
  <c r="D8" i="9" s="1"/>
  <c r="D7" i="9" s="1"/>
  <c r="E25" i="9"/>
  <c r="E19" i="9"/>
  <c r="E16" i="9" s="1"/>
  <c r="C24" i="9"/>
  <c r="E29" i="9"/>
  <c r="E32" i="9"/>
  <c r="E37" i="9"/>
  <c r="E30" i="9"/>
  <c r="E24" i="9" s="1"/>
  <c r="E14" i="9"/>
  <c r="E10" i="9" s="1"/>
  <c r="E33" i="9"/>
  <c r="D41" i="9" l="1"/>
  <c r="F9" i="9"/>
  <c r="F8" i="9" s="1"/>
  <c r="F7" i="9" s="1"/>
  <c r="F41" i="9" s="1"/>
  <c r="E9" i="9"/>
  <c r="E8" i="9" s="1"/>
  <c r="E7" i="9" s="1"/>
  <c r="E41" i="9" s="1"/>
  <c r="E40" i="8"/>
  <c r="G40" i="8" s="1"/>
  <c r="E39" i="8"/>
  <c r="G39" i="8" s="1"/>
  <c r="E38" i="8"/>
  <c r="G38" i="8" s="1"/>
  <c r="F37" i="8"/>
  <c r="D37" i="8"/>
  <c r="C37" i="8"/>
  <c r="F36" i="8"/>
  <c r="E36" i="8"/>
  <c r="E35" i="8"/>
  <c r="G35" i="8" s="1"/>
  <c r="F34" i="8"/>
  <c r="E34" i="8"/>
  <c r="G34" i="8" s="1"/>
  <c r="D33" i="8"/>
  <c r="D32" i="8" s="1"/>
  <c r="C33" i="8"/>
  <c r="C32" i="8"/>
  <c r="E31" i="8"/>
  <c r="G31" i="8" s="1"/>
  <c r="F30" i="8"/>
  <c r="D30" i="8"/>
  <c r="C30" i="8"/>
  <c r="E30" i="8" s="1"/>
  <c r="G30" i="8" s="1"/>
  <c r="F28" i="8"/>
  <c r="E28" i="8"/>
  <c r="F27" i="8"/>
  <c r="E27" i="8"/>
  <c r="F26" i="8"/>
  <c r="E26" i="8"/>
  <c r="G26" i="8" s="1"/>
  <c r="D25" i="8"/>
  <c r="D24" i="8" s="1"/>
  <c r="C25" i="8"/>
  <c r="C24" i="8" s="1"/>
  <c r="E23" i="8"/>
  <c r="G23" i="8" s="1"/>
  <c r="E22" i="8"/>
  <c r="G22" i="8" s="1"/>
  <c r="E21" i="8"/>
  <c r="G21" i="8" s="1"/>
  <c r="F20" i="8"/>
  <c r="E20" i="8"/>
  <c r="G20" i="8" s="1"/>
  <c r="F19" i="8"/>
  <c r="D19" i="8"/>
  <c r="C19" i="8"/>
  <c r="F18" i="8"/>
  <c r="F17" i="8" s="1"/>
  <c r="F16" i="8" s="1"/>
  <c r="E18" i="8"/>
  <c r="G18" i="8" s="1"/>
  <c r="D17" i="8"/>
  <c r="C17" i="8"/>
  <c r="E17" i="8" s="1"/>
  <c r="D16" i="8"/>
  <c r="F15" i="8"/>
  <c r="F14" i="8" s="1"/>
  <c r="E15" i="8"/>
  <c r="G15" i="8" s="1"/>
  <c r="D14" i="8"/>
  <c r="C14" i="8"/>
  <c r="E14" i="8" s="1"/>
  <c r="F13" i="8"/>
  <c r="F11" i="8" s="1"/>
  <c r="E13" i="8"/>
  <c r="G13" i="8" s="1"/>
  <c r="E12" i="8"/>
  <c r="G12" i="8" s="1"/>
  <c r="D11" i="8"/>
  <c r="C11" i="8"/>
  <c r="E11" i="8" s="1"/>
  <c r="G11" i="8" s="1"/>
  <c r="F40" i="7"/>
  <c r="D40" i="7"/>
  <c r="E40" i="7" s="1"/>
  <c r="F39" i="7"/>
  <c r="E39" i="7"/>
  <c r="E38" i="7"/>
  <c r="D37" i="7"/>
  <c r="C37" i="7"/>
  <c r="F36" i="7"/>
  <c r="E35" i="7"/>
  <c r="F34" i="7"/>
  <c r="F33" i="7" s="1"/>
  <c r="F32" i="7" s="1"/>
  <c r="E34" i="7"/>
  <c r="D33" i="7"/>
  <c r="C33" i="7"/>
  <c r="C32" i="7" s="1"/>
  <c r="D32" i="7"/>
  <c r="E31" i="7"/>
  <c r="F30" i="7"/>
  <c r="D30" i="7"/>
  <c r="C30" i="7"/>
  <c r="F28" i="7"/>
  <c r="E28" i="7"/>
  <c r="F27" i="7"/>
  <c r="F25" i="7" s="1"/>
  <c r="F24" i="7" s="1"/>
  <c r="E27" i="7"/>
  <c r="F26" i="7"/>
  <c r="E26" i="7"/>
  <c r="D25" i="7"/>
  <c r="C25" i="7"/>
  <c r="F23" i="7"/>
  <c r="E23" i="7"/>
  <c r="E22" i="7"/>
  <c r="E21" i="7"/>
  <c r="F20" i="7"/>
  <c r="F19" i="7" s="1"/>
  <c r="E20" i="7"/>
  <c r="D19" i="7"/>
  <c r="C19" i="7"/>
  <c r="C16" i="7" s="1"/>
  <c r="F18" i="7"/>
  <c r="E18" i="7"/>
  <c r="E17" i="7" s="1"/>
  <c r="F17" i="7"/>
  <c r="D17" i="7"/>
  <c r="D16" i="7" s="1"/>
  <c r="C17" i="7"/>
  <c r="F15" i="7"/>
  <c r="F14" i="7" s="1"/>
  <c r="E15" i="7"/>
  <c r="D14" i="7"/>
  <c r="C14" i="7"/>
  <c r="F13" i="7"/>
  <c r="E13" i="7"/>
  <c r="E12" i="7"/>
  <c r="E11" i="7" s="1"/>
  <c r="F11" i="7"/>
  <c r="D11" i="7"/>
  <c r="C11" i="7"/>
  <c r="F10" i="7" l="1"/>
  <c r="E14" i="7"/>
  <c r="E10" i="7" s="1"/>
  <c r="F16" i="7"/>
  <c r="D10" i="7"/>
  <c r="D9" i="7" s="1"/>
  <c r="D8" i="7" s="1"/>
  <c r="D24" i="7"/>
  <c r="E33" i="7"/>
  <c r="F10" i="8"/>
  <c r="F9" i="8" s="1"/>
  <c r="F8" i="8" s="1"/>
  <c r="F33" i="8"/>
  <c r="F32" i="8" s="1"/>
  <c r="G17" i="8"/>
  <c r="C16" i="8"/>
  <c r="E16" i="8" s="1"/>
  <c r="G16" i="8" s="1"/>
  <c r="E19" i="8"/>
  <c r="G19" i="8" s="1"/>
  <c r="D10" i="8"/>
  <c r="D9" i="8" s="1"/>
  <c r="D8" i="8" s="1"/>
  <c r="D7" i="8" s="1"/>
  <c r="D41" i="8" s="1"/>
  <c r="E24" i="8"/>
  <c r="G27" i="8"/>
  <c r="G36" i="8"/>
  <c r="G28" i="8"/>
  <c r="G14" i="8"/>
  <c r="E32" i="8"/>
  <c r="G32" i="8" s="1"/>
  <c r="C10" i="8"/>
  <c r="E33" i="8"/>
  <c r="G33" i="8" s="1"/>
  <c r="E25" i="8"/>
  <c r="G25" i="8" s="1"/>
  <c r="E37" i="8"/>
  <c r="G37" i="8" s="1"/>
  <c r="F9" i="7"/>
  <c r="F8" i="7" s="1"/>
  <c r="F7" i="7" s="1"/>
  <c r="E32" i="7"/>
  <c r="C24" i="7"/>
  <c r="C10" i="7"/>
  <c r="C9" i="7" s="1"/>
  <c r="C8" i="7" s="1"/>
  <c r="E30" i="7"/>
  <c r="E19" i="7"/>
  <c r="E16" i="7" s="1"/>
  <c r="E25" i="7"/>
  <c r="F37" i="7"/>
  <c r="E37" i="7"/>
  <c r="D7" i="7" l="1"/>
  <c r="D41" i="7" s="1"/>
  <c r="F7" i="8"/>
  <c r="F41" i="8" s="1"/>
  <c r="G24" i="8"/>
  <c r="E10" i="8"/>
  <c r="G10" i="8" s="1"/>
  <c r="C9" i="8"/>
  <c r="C7" i="7"/>
  <c r="C41" i="7" s="1"/>
  <c r="E24" i="7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C13" i="1" l="1"/>
  <c r="C12" i="1" s="1"/>
  <c r="F13" i="4" l="1"/>
  <c r="F18" i="4"/>
  <c r="F20" i="4"/>
  <c r="F23" i="4"/>
  <c r="F26" i="4"/>
  <c r="E39" i="4" l="1"/>
  <c r="E38" i="4"/>
  <c r="E37" i="4"/>
  <c r="F36" i="4"/>
  <c r="C36" i="4"/>
  <c r="F35" i="4"/>
  <c r="E35" i="4"/>
  <c r="E34" i="4"/>
  <c r="F33" i="4"/>
  <c r="F32" i="4" s="1"/>
  <c r="C33" i="4"/>
  <c r="E33" i="4" s="1"/>
  <c r="E31" i="4"/>
  <c r="F30" i="4"/>
  <c r="E30" i="4"/>
  <c r="F28" i="4"/>
  <c r="E28" i="4"/>
  <c r="E27" i="4"/>
  <c r="F25" i="4"/>
  <c r="E26" i="4"/>
  <c r="D25" i="4"/>
  <c r="C25" i="4"/>
  <c r="D24" i="4"/>
  <c r="E23" i="4"/>
  <c r="E22" i="4"/>
  <c r="E21" i="4"/>
  <c r="E20" i="4"/>
  <c r="F19" i="4"/>
  <c r="D19" i="4"/>
  <c r="C19" i="4"/>
  <c r="E19" i="4" s="1"/>
  <c r="E18" i="4"/>
  <c r="F17" i="4"/>
  <c r="C17" i="4"/>
  <c r="E17" i="4" s="1"/>
  <c r="F16" i="4"/>
  <c r="D16" i="4"/>
  <c r="E16" i="4" s="1"/>
  <c r="F15" i="4"/>
  <c r="E15" i="4"/>
  <c r="E14" i="4"/>
  <c r="E13" i="4"/>
  <c r="E12" i="4"/>
  <c r="F11" i="4"/>
  <c r="C11" i="4"/>
  <c r="E11" i="4" s="1"/>
  <c r="E10" i="4"/>
  <c r="D9" i="4"/>
  <c r="D8" i="4" s="1"/>
  <c r="C9" i="4"/>
  <c r="C8" i="4" s="1"/>
  <c r="C24" i="4" l="1"/>
  <c r="E36" i="4"/>
  <c r="C32" i="4"/>
  <c r="D7" i="4"/>
  <c r="D40" i="4" s="1"/>
  <c r="E8" i="4"/>
  <c r="C7" i="4"/>
  <c r="E24" i="4"/>
  <c r="F14" i="4"/>
  <c r="F10" i="4" s="1"/>
  <c r="E9" i="4"/>
  <c r="E25" i="4"/>
  <c r="E37" i="3"/>
  <c r="E39" i="3"/>
  <c r="E32" i="4" l="1"/>
  <c r="F9" i="4"/>
  <c r="F8" i="4" s="1"/>
  <c r="F7" i="4" s="1"/>
  <c r="F40" i="4" s="1"/>
  <c r="E7" i="4"/>
  <c r="E40" i="4" s="1"/>
  <c r="C40" i="4"/>
  <c r="F13" i="3"/>
  <c r="F15" i="3"/>
  <c r="F18" i="3"/>
  <c r="F23" i="3"/>
  <c r="F26" i="3"/>
  <c r="F27" i="3"/>
  <c r="F35" i="3"/>
  <c r="G39" i="3" l="1"/>
  <c r="E38" i="3"/>
  <c r="G38" i="3" s="1"/>
  <c r="G37" i="3"/>
  <c r="F36" i="3"/>
  <c r="C36" i="3"/>
  <c r="E36" i="3" s="1"/>
  <c r="F33" i="3"/>
  <c r="F32" i="3" s="1"/>
  <c r="E35" i="3"/>
  <c r="E34" i="3"/>
  <c r="G34" i="3" s="1"/>
  <c r="C33" i="3"/>
  <c r="E33" i="3" s="1"/>
  <c r="E31" i="3"/>
  <c r="G31" i="3" s="1"/>
  <c r="F30" i="3"/>
  <c r="E30" i="3"/>
  <c r="G30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E19" i="3" l="1"/>
  <c r="C32" i="3"/>
  <c r="E32" i="3" s="1"/>
  <c r="G32" i="3" s="1"/>
  <c r="G17" i="3"/>
  <c r="F10" i="3"/>
  <c r="G10" i="3" s="1"/>
  <c r="G36" i="3"/>
  <c r="G33" i="3"/>
  <c r="D7" i="3"/>
  <c r="D40" i="3" s="1"/>
  <c r="E8" i="3"/>
  <c r="E9" i="3"/>
  <c r="E25" i="3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C38" i="2"/>
  <c r="E37" i="2"/>
  <c r="E36" i="2"/>
  <c r="G36" i="2" s="1"/>
  <c r="C35" i="2"/>
  <c r="C34" i="2" s="1"/>
  <c r="E33" i="2"/>
  <c r="F32" i="2"/>
  <c r="E32" i="2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8" i="2" l="1"/>
  <c r="G38" i="2" s="1"/>
  <c r="E34" i="2"/>
  <c r="E35" i="2"/>
  <c r="E11" i="2"/>
  <c r="E21" i="2"/>
  <c r="G21" i="2" s="1"/>
  <c r="E26" i="2"/>
  <c r="C9" i="2"/>
  <c r="F16" i="3"/>
  <c r="G16" i="3" s="1"/>
  <c r="C7" i="3"/>
  <c r="E24" i="3"/>
  <c r="G13" i="2"/>
  <c r="G12" i="2"/>
  <c r="G15" i="2"/>
  <c r="G37" i="2"/>
  <c r="F18" i="2"/>
  <c r="F11" i="2" s="1"/>
  <c r="F10" i="2" s="1"/>
  <c r="G20" i="2"/>
  <c r="G19" i="2"/>
  <c r="G28" i="2"/>
  <c r="G30" i="2"/>
  <c r="F35" i="2"/>
  <c r="F34" i="2" s="1"/>
  <c r="C42" i="2"/>
  <c r="D10" i="2"/>
  <c r="E27" i="2"/>
  <c r="D25" i="1"/>
  <c r="F25" i="1"/>
  <c r="C25" i="1"/>
  <c r="E27" i="1"/>
  <c r="F9" i="3" l="1"/>
  <c r="C40" i="3"/>
  <c r="E7" i="3"/>
  <c r="E40" i="3" s="1"/>
  <c r="G11" i="2"/>
  <c r="G18" i="2"/>
  <c r="G27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E30" i="1"/>
  <c r="E31" i="1"/>
  <c r="E34" i="1"/>
  <c r="E35" i="1"/>
  <c r="E37" i="1"/>
  <c r="E38" i="1"/>
  <c r="E39" i="1"/>
  <c r="E13" i="1"/>
  <c r="C19" i="1"/>
  <c r="F42" i="2" l="1"/>
  <c r="E25" i="1"/>
  <c r="F8" i="3"/>
  <c r="G9" i="3"/>
  <c r="G26" i="2"/>
  <c r="D42" i="2"/>
  <c r="E9" i="2"/>
  <c r="E42" i="2" s="1"/>
  <c r="F13" i="1"/>
  <c r="F12" i="1" s="1"/>
  <c r="G9" i="2" l="1"/>
  <c r="G42" i="2" s="1"/>
  <c r="F7" i="3"/>
  <c r="F40" i="3" s="1"/>
  <c r="G8" i="3"/>
  <c r="F19" i="1"/>
  <c r="D24" i="1"/>
  <c r="F30" i="1"/>
  <c r="F33" i="1"/>
  <c r="C33" i="1"/>
  <c r="E33" i="1" s="1"/>
  <c r="C36" i="1"/>
  <c r="G7" i="3" l="1"/>
  <c r="G40" i="3" s="1"/>
  <c r="C24" i="1"/>
  <c r="E24" i="1" s="1"/>
  <c r="C32" i="1"/>
  <c r="E32" i="1" s="1"/>
  <c r="G18" i="1"/>
  <c r="G23" i="1"/>
  <c r="G15" i="1"/>
  <c r="G39" i="1" l="1"/>
  <c r="D36" i="1"/>
  <c r="E36" i="1" s="1"/>
  <c r="G38" i="1"/>
  <c r="F36" i="1"/>
  <c r="G35" i="1"/>
  <c r="G34" i="1"/>
  <c r="F32" i="1"/>
  <c r="G21" i="1"/>
  <c r="G20" i="1"/>
  <c r="D19" i="1"/>
  <c r="F17" i="1"/>
  <c r="C17" i="1"/>
  <c r="G13" i="1"/>
  <c r="D11" i="1"/>
  <c r="E17" i="1" l="1"/>
  <c r="C16" i="1"/>
  <c r="C11" i="1" s="1"/>
  <c r="C10" i="1" s="1"/>
  <c r="C9" i="1" s="1"/>
  <c r="C40" i="1" s="1"/>
  <c r="D16" i="1"/>
  <c r="E16" i="1" s="1"/>
  <c r="E19" i="1"/>
  <c r="G17" i="1"/>
  <c r="D10" i="1"/>
  <c r="D9" i="1" s="1"/>
  <c r="D40" i="1" s="1"/>
  <c r="F16" i="1"/>
  <c r="G36" i="1"/>
  <c r="G37" i="1"/>
  <c r="E11" i="1" l="1"/>
  <c r="G16" i="1"/>
  <c r="F11" i="1"/>
  <c r="F10" i="1" s="1"/>
  <c r="F40" i="1" s="1"/>
  <c r="G19" i="1"/>
  <c r="G12" i="1"/>
  <c r="E10" i="1" l="1"/>
  <c r="G10" i="1" s="1"/>
  <c r="G11" i="1"/>
  <c r="E9" i="1" l="1"/>
  <c r="G9" i="1" l="1"/>
  <c r="G40" i="1" s="1"/>
  <c r="E40" i="1"/>
</calcChain>
</file>

<file path=xl/sharedStrings.xml><?xml version="1.0" encoding="utf-8"?>
<sst xmlns="http://schemas.openxmlformats.org/spreadsheetml/2006/main" count="741" uniqueCount="92">
  <si>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</si>
  <si>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</si>
  <si>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</si>
  <si>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</si>
  <si>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</si>
  <si>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</si>
  <si>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</si>
  <si>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</si>
  <si>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</si>
  <si>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</si>
  <si>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</si>
  <si>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</si>
  <si>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</si>
  <si>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</si>
  <si>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</si>
  <si>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</si>
  <si>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</si>
  <si>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</si>
  <si>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</si>
  <si>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</si>
  <si>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</si>
  <si>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</si>
  <si>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</si>
  <si>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</si>
  <si>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</si>
  <si>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</si>
  <si>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</si>
  <si>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</si>
  <si>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</si>
  <si>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</si>
  <si>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</si>
  <si>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</si>
  <si>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</si>
  <si>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</si>
  <si>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</si>
  <si>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</si>
  <si>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</si>
  <si>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</si>
  <si>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</si>
  <si>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</si>
  <si>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</si>
  <si>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</si>
  <si>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</si>
  <si>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</si>
  <si>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</si>
  <si>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</si>
  <si>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</si>
  <si>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</si>
  <si>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</si>
  <si>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</si>
  <si>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</si>
  <si>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</si>
  <si>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</si>
  <si>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</si>
  <si>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</si>
  <si>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</si>
  <si>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</si>
  <si>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</si>
  <si>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</si>
  <si>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</si>
  <si>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</si>
  <si>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</si>
  <si>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</si>
  <si>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</si>
  <si>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</si>
  <si>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</si>
  <si>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</si>
  <si>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</si>
  <si>
    <t>AGOSTO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</si>
  <si>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 Y CON EL DECRETO 1283 DEL 25/07/2018  LA SUMA DE   $20.000.000.000</t>
    </r>
  </si>
  <si>
    <t>SEPTIEMBRE</t>
  </si>
  <si>
    <t>OCTUBRE</t>
  </si>
  <si>
    <t xml:space="preserve">                                       </t>
  </si>
  <si>
    <t xml:space="preserve">                                         </t>
  </si>
  <si>
    <t xml:space="preserve">                             </t>
  </si>
  <si>
    <t>_____________________________________________</t>
  </si>
  <si>
    <t xml:space="preserve">   JUANA CELINA CARVAJAL REYES</t>
  </si>
  <si>
    <t xml:space="preserve">                                           </t>
  </si>
  <si>
    <t xml:space="preserve"> EXP.G3-6 CON FUNCIONES DE TESORERA</t>
  </si>
  <si>
    <t xml:space="preserve">                                     </t>
  </si>
  <si>
    <t xml:space="preserve">       ______________________________________</t>
  </si>
  <si>
    <t>_______________________________________</t>
  </si>
  <si>
    <t>NOVIEMBRE</t>
  </si>
  <si>
    <t>ELIZABETH GOMEZ SANCHEZ</t>
  </si>
  <si>
    <t xml:space="preserve">  </t>
  </si>
  <si>
    <t>VICEPRESIDENTE ADMINISTRATIVA Y FINANCIERA</t>
  </si>
  <si>
    <t xml:space="preserve"> JUANA CELINA CARVAJAL REYES</t>
  </si>
  <si>
    <t xml:space="preserve"> </t>
  </si>
  <si>
    <t>EXP.G3-6 CON FUNCIONES DE TESORERA</t>
  </si>
  <si>
    <t>DICIEMBRE</t>
  </si>
  <si>
    <t>EN VIRTUD DEL ARTÍCULO 103 DE LA LEY 1873 DEL 20 DE DICIEMBRE DE 2017, DURANTE LA VIGENCIA 2018 A LA AGENCIA NACIONAL DE INFRAESTRUCTURA SE LE CONTRACREDITO (REDUJO) CON APORTES NACIÓN EN EL CONCEPTO 43 “INVERSIÓN” LA SUMA DE $344.000 MILLONES, MEDIANTE LOS DECRETOS 431 DEL 5 DE MARZO DE 2018 ($250.000 MILLONES), 1021 DEL 14 DE JUNIO DE 2018 ($69.000 MILLONES), 1283 DEL 25 DE JULIO DE 2018 ($20.000 MILLONES) Y 2484 DEL 28 DE DICIEMBRE DE 2018 ($5.000 MILLONES). ESTOS RECURSOS CONTRACREDITADOS FUERON TRASLADADOS AL MINISTERIO DE TRANSPORTE, A CORMAGDALENA Y AL INVIAS.</t>
  </si>
  <si>
    <t>DE IGUAL MANERA, MEDIANTE DECRETO 2470 DEL 28 DE DICIEMBRE DE 2018 EN EL PRESUPUESTO DE GASTOS DE INVERSION DE LA ANI SE RECORTÓ LA SUMA DE $33.306.011.155, DE LOS CUALES EL VALOR DE $31.000 MILLONES ES CON FUENTE DE FINANCIACIÓN APORTES NACIÓN EN EL CONCEPTO 43 “INVERSIÓN Y LOS RESTANTES $2.306.011.155 ES CON RECURSOS PROPIOS EN LOS CONCEPTOS 3.1 “INGRESOS CORRIENTES”, RUBRO 3.1.2.8 “OTROS INGRESOS” Y 3.2 “RECURSOS DE CAPITAL” RUBRO 3.2.5.2 “EXCEDENTES FINANCIEROS”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</si>
</sst>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176">
    <xf numFmtId="0" fontId="0" fillId="0" borderId="0" xfId="0"/>
    <xf numFmtId="164" fontId="6" fillId="2" borderId="8" xfId="1" applyFont="1" applyFill="1" applyBorder="1" applyAlignment="1">
      <alignment horizontal="right" vertical="center"/>
    </xf>
    <xf numFmtId="164" fontId="5" fillId="2" borderId="8" xfId="1" applyFont="1" applyFill="1" applyBorder="1" applyAlignment="1">
      <alignment horizontal="right" vertical="center"/>
    </xf>
    <xf numFmtId="164" fontId="5" fillId="2" borderId="9" xfId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164" fontId="5" fillId="2" borderId="8" xfId="1" applyFont="1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3" fontId="5" fillId="2" borderId="0" xfId="0" applyNumberFormat="1" applyFont="1" applyFill="1" applyBorder="1"/>
    <xf numFmtId="4" fontId="7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left" vertical="center"/>
    </xf>
    <xf numFmtId="164" fontId="5" fillId="2" borderId="5" xfId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0" xfId="1" applyFont="1" applyFill="1" applyBorder="1" applyAlignment="1">
      <alignment vertical="top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11" xfId="1" applyFont="1" applyFill="1" applyBorder="1" applyAlignment="1">
      <alignment vertical="center"/>
    </xf>
    <xf numFmtId="164" fontId="5" fillId="2" borderId="12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164" fontId="5" fillId="2" borderId="0" xfId="1" applyFont="1" applyFill="1" applyBorder="1" applyAlignment="1">
      <alignment vertical="top"/>
    </xf>
    <xf numFmtId="0" fontId="6" fillId="2" borderId="4" xfId="0" applyFont="1" applyFill="1" applyBorder="1" applyAlignment="1"/>
    <xf numFmtId="0" fontId="5" fillId="2" borderId="0" xfId="0" applyFont="1" applyFill="1" applyBorder="1" applyAlignment="1">
      <alignment horizontal="left"/>
    </xf>
    <xf numFmtId="164" fontId="5" fillId="2" borderId="0" xfId="1" applyFont="1" applyFill="1" applyBorder="1" applyAlignment="1"/>
    <xf numFmtId="164" fontId="6" fillId="2" borderId="0" xfId="1" applyFont="1" applyFill="1" applyBorder="1" applyAlignment="1"/>
    <xf numFmtId="164" fontId="5" fillId="2" borderId="5" xfId="1" applyFont="1" applyFill="1" applyBorder="1" applyAlignment="1"/>
    <xf numFmtId="2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vertical="top"/>
    </xf>
    <xf numFmtId="164" fontId="6" fillId="2" borderId="0" xfId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vertical="top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43" fontId="10" fillId="2" borderId="0" xfId="0" applyNumberFormat="1" applyFont="1" applyFill="1" applyBorder="1" applyAlignment="1">
      <alignment vertical="center" wrapText="1"/>
    </xf>
    <xf numFmtId="43" fontId="10" fillId="2" borderId="5" xfId="0" applyNumberFormat="1" applyFont="1" applyFill="1" applyBorder="1" applyAlignment="1">
      <alignment vertical="center" wrapText="1"/>
    </xf>
    <xf numFmtId="14" fontId="5" fillId="2" borderId="5" xfId="1" applyNumberFormat="1" applyFont="1" applyFill="1" applyBorder="1" applyAlignment="1">
      <alignment vertical="center"/>
    </xf>
    <xf numFmtId="164" fontId="5" fillId="2" borderId="5" xfId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8" fillId="2" borderId="8" xfId="0" applyFont="1" applyFill="1" applyBorder="1" applyAlignment="1">
      <alignment vertical="top" readingOrder="1"/>
    </xf>
    <xf numFmtId="0" fontId="9" fillId="2" borderId="8" xfId="0" applyFont="1" applyFill="1" applyBorder="1" applyAlignment="1">
      <alignment vertical="top" readingOrder="1"/>
    </xf>
    <xf numFmtId="164" fontId="6" fillId="2" borderId="9" xfId="1" applyFont="1" applyFill="1" applyBorder="1" applyAlignment="1">
      <alignment horizontal="right" vertical="center"/>
    </xf>
    <xf numFmtId="43" fontId="6" fillId="2" borderId="8" xfId="1" applyNumberFormat="1" applyFont="1" applyFill="1" applyBorder="1" applyAlignment="1">
      <alignment horizontal="right" vertical="center"/>
    </xf>
    <xf numFmtId="164" fontId="6" fillId="2" borderId="8" xfId="1" applyFont="1" applyFill="1" applyBorder="1" applyAlignment="1">
      <alignment vertical="center"/>
    </xf>
    <xf numFmtId="164" fontId="6" fillId="2" borderId="9" xfId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164" fontId="6" fillId="2" borderId="14" xfId="1" applyFont="1" applyFill="1" applyBorder="1" applyAlignment="1">
      <alignment horizontal="right" vertical="center"/>
    </xf>
    <xf numFmtId="164" fontId="6" fillId="2" borderId="15" xfId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vertical="center"/>
    </xf>
    <xf numFmtId="164" fontId="6" fillId="2" borderId="0" xfId="1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5" xfId="1" applyNumberFormat="1" applyFont="1" applyFill="1" applyBorder="1" applyAlignment="1">
      <alignment vertical="center"/>
    </xf>
    <xf numFmtId="164" fontId="5" fillId="0" borderId="5" xfId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4" fontId="6" fillId="0" borderId="6" xfId="1" applyFont="1" applyFill="1" applyBorder="1" applyAlignment="1">
      <alignment horizontal="center" vertical="center" wrapText="1"/>
    </xf>
    <xf numFmtId="164" fontId="12" fillId="2" borderId="8" xfId="1" applyFont="1" applyFill="1" applyBorder="1" applyAlignment="1">
      <alignment vertical="center"/>
    </xf>
    <xf numFmtId="43" fontId="12" fillId="2" borderId="0" xfId="0" applyNumberFormat="1" applyFont="1" applyFill="1" applyBorder="1"/>
    <xf numFmtId="164" fontId="12" fillId="2" borderId="8" xfId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164" fontId="6" fillId="3" borderId="8" xfId="1" applyFont="1" applyFill="1" applyBorder="1" applyAlignment="1">
      <alignment horizontal="right" vertical="center"/>
    </xf>
    <xf numFmtId="164" fontId="6" fillId="3" borderId="22" xfId="1" applyFont="1" applyFill="1" applyBorder="1" applyAlignment="1">
      <alignment horizontal="right" vertical="center"/>
    </xf>
    <xf numFmtId="164" fontId="6" fillId="3" borderId="9" xfId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top" wrapText="1" readingOrder="1"/>
    </xf>
    <xf numFmtId="164" fontId="5" fillId="3" borderId="8" xfId="1" applyFont="1" applyFill="1" applyBorder="1" applyAlignment="1">
      <alignment horizontal="right" vertical="center"/>
    </xf>
    <xf numFmtId="164" fontId="5" fillId="3" borderId="9" xfId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vertical="top" readingOrder="1"/>
    </xf>
    <xf numFmtId="0" fontId="9" fillId="3" borderId="8" xfId="0" applyFont="1" applyFill="1" applyBorder="1" applyAlignment="1">
      <alignment vertical="top" readingOrder="1"/>
    </xf>
    <xf numFmtId="0" fontId="5" fillId="3" borderId="8" xfId="0" applyFont="1" applyFill="1" applyBorder="1" applyAlignment="1">
      <alignment vertical="center"/>
    </xf>
    <xf numFmtId="43" fontId="6" fillId="3" borderId="8" xfId="1" applyNumberFormat="1" applyFont="1" applyFill="1" applyBorder="1" applyAlignment="1">
      <alignment horizontal="right" vertical="center"/>
    </xf>
    <xf numFmtId="164" fontId="6" fillId="3" borderId="8" xfId="1" applyFont="1" applyFill="1" applyBorder="1" applyAlignment="1">
      <alignment vertical="center"/>
    </xf>
    <xf numFmtId="164" fontId="6" fillId="3" borderId="9" xfId="1" applyFont="1" applyFill="1" applyBorder="1" applyAlignment="1">
      <alignment vertical="center"/>
    </xf>
    <xf numFmtId="164" fontId="12" fillId="3" borderId="8" xfId="1" applyFont="1" applyFill="1" applyBorder="1" applyAlignment="1">
      <alignment vertical="center"/>
    </xf>
    <xf numFmtId="43" fontId="12" fillId="3" borderId="0" xfId="0" applyNumberFormat="1" applyFont="1" applyFill="1" applyBorder="1"/>
    <xf numFmtId="4" fontId="7" fillId="3" borderId="8" xfId="0" applyNumberFormat="1" applyFont="1" applyFill="1" applyBorder="1" applyAlignment="1">
      <alignment horizontal="right" vertical="center" wrapText="1"/>
    </xf>
    <xf numFmtId="164" fontId="12" fillId="3" borderId="8" xfId="1" applyFont="1" applyFill="1" applyBorder="1" applyAlignment="1">
      <alignment horizontal="right" vertical="center"/>
    </xf>
    <xf numFmtId="164" fontId="6" fillId="3" borderId="14" xfId="1" applyFont="1" applyFill="1" applyBorder="1" applyAlignment="1">
      <alignment horizontal="right" vertical="center"/>
    </xf>
    <xf numFmtId="164" fontId="6" fillId="3" borderId="15" xfId="1" applyFont="1" applyFill="1" applyBorder="1" applyAlignment="1">
      <alignment horizontal="right" vertical="center"/>
    </xf>
    <xf numFmtId="0" fontId="5" fillId="2" borderId="0" xfId="2" applyFont="1" applyFill="1" applyBorder="1"/>
    <xf numFmtId="165" fontId="5" fillId="2" borderId="0" xfId="2" applyNumberFormat="1" applyFont="1" applyFill="1" applyBorder="1"/>
    <xf numFmtId="39" fontId="5" fillId="2" borderId="0" xfId="2" applyNumberFormat="1" applyFont="1" applyFill="1" applyBorder="1"/>
    <xf numFmtId="4" fontId="5" fillId="2" borderId="0" xfId="2" applyNumberFormat="1" applyFont="1" applyFill="1" applyBorder="1"/>
    <xf numFmtId="164" fontId="5" fillId="2" borderId="0" xfId="1" applyFont="1" applyFill="1" applyBorder="1" applyAlignment="1">
      <alignment horizontal="center"/>
    </xf>
    <xf numFmtId="164" fontId="6" fillId="2" borderId="0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22" xfId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vertical="top"/>
    </xf>
    <xf numFmtId="164" fontId="5" fillId="2" borderId="11" xfId="1" applyFont="1" applyFill="1" applyBorder="1" applyAlignment="1">
      <alignment vertical="top"/>
    </xf>
    <xf numFmtId="164" fontId="6" fillId="2" borderId="11" xfId="1" applyFont="1" applyFill="1" applyBorder="1" applyAlignment="1">
      <alignment vertical="top"/>
    </xf>
    <xf numFmtId="164" fontId="5" fillId="2" borderId="0" xfId="1" applyFont="1" applyFill="1" applyBorder="1" applyAlignment="1">
      <alignment horizontal="left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43" fontId="6" fillId="2" borderId="0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/>
    <xf numFmtId="164" fontId="5" fillId="2" borderId="4" xfId="1" applyFont="1" applyFill="1" applyBorder="1" applyAlignment="1">
      <alignment vertical="center"/>
    </xf>
    <xf numFmtId="0" fontId="5" fillId="2" borderId="4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164" fontId="6" fillId="2" borderId="17" xfId="1" applyFont="1" applyFill="1" applyBorder="1" applyAlignment="1">
      <alignment horizontal="right" vertical="center"/>
    </xf>
    <xf numFmtId="164" fontId="6" fillId="2" borderId="18" xfId="1" applyFont="1" applyFill="1" applyBorder="1" applyAlignment="1">
      <alignment horizontal="right" vertical="center"/>
    </xf>
    <xf numFmtId="0" fontId="0" fillId="2" borderId="8" xfId="0" applyNumberFormat="1" applyFont="1" applyFill="1" applyBorder="1" applyAlignment="1">
      <alignment vertical="top" wrapText="1" readingOrder="1"/>
    </xf>
    <xf numFmtId="43" fontId="12" fillId="2" borderId="8" xfId="0" applyNumberFormat="1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3" fontId="5" fillId="2" borderId="0" xfId="0" applyNumberFormat="1" applyFont="1" applyFill="1" applyBorder="1" applyAlignment="1">
      <alignment vertical="center" wrapText="1"/>
    </xf>
    <xf numFmtId="43" fontId="5" fillId="2" borderId="5" xfId="0" applyNumberFormat="1" applyFont="1" applyFill="1" applyBorder="1" applyAlignment="1">
      <alignment vertical="center" wrapText="1"/>
    </xf>
    <xf numFmtId="164" fontId="5" fillId="2" borderId="18" xfId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5" fillId="2" borderId="0" xfId="4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horizontal="center"/>
    </xf>
    <xf numFmtId="164" fontId="6" fillId="2" borderId="0" xfId="1" applyFont="1" applyFill="1" applyBorder="1" applyAlignment="1">
      <alignment horizontal="center" vertical="top"/>
    </xf>
    <xf numFmtId="164" fontId="6" fillId="2" borderId="23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</cellXfs>
  <cellStyles count="5">
    <cellStyle name="Millares" xfId="1" builtinId="3"/>
    <cellStyle name="Moneda" xfId="4" builtinId="4"/>
    <cellStyle name="Normal" xfId="0" builtinId="0"/>
    <cellStyle name="Normal 20" xfId="2"/>
    <cellStyle name="Normal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1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2" sqref="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5" t="s">
        <v>0</v>
      </c>
      <c r="B1" s="146"/>
      <c r="C1" s="146"/>
      <c r="D1" s="146"/>
      <c r="E1" s="146"/>
      <c r="F1" s="146"/>
      <c r="G1" s="147"/>
    </row>
    <row r="2" spans="1:7" ht="5.25" customHeight="1" x14ac:dyDescent="0.25">
      <c r="A2" s="148"/>
      <c r="B2" s="149"/>
      <c r="C2" s="149"/>
      <c r="D2" s="149"/>
      <c r="E2" s="149"/>
      <c r="F2" s="149"/>
      <c r="G2" s="150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C25+C30+C33</f>
        <v>23172038700</v>
      </c>
      <c r="D24" s="1">
        <f>D25+D30+D29</f>
        <v>0</v>
      </c>
      <c r="E24" s="1">
        <f t="shared" si="0"/>
        <v>23172038700</v>
      </c>
      <c r="F24" s="1">
        <f>F25+F29</f>
        <v>17765411603.380001</v>
      </c>
      <c r="G24" s="53">
        <f>E24-F24</f>
        <v>5406627096.6199989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F25" si="4">D26+D27+D28</f>
        <v>0</v>
      </c>
      <c r="E25" s="55">
        <f t="shared" si="4"/>
        <v>5772038700</v>
      </c>
      <c r="F25" s="55">
        <f t="shared" si="4"/>
        <v>468322218.38</v>
      </c>
      <c r="G25" s="53">
        <f t="shared" ref="G25:G33" si="5">E25-F25</f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53">
        <f t="shared" si="5"/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53">
        <f t="shared" si="5"/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53">
        <f t="shared" si="5"/>
        <v>-463441064.58999997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 t="shared" ref="D29:E29" si="7">D30+D32</f>
        <v>0</v>
      </c>
      <c r="E29" s="1">
        <f t="shared" si="7"/>
        <v>17400000000</v>
      </c>
      <c r="F29" s="1">
        <f>F30+F32</f>
        <v>17297089385</v>
      </c>
      <c r="G29" s="53">
        <f>E29-F29</f>
        <v>102910615</v>
      </c>
    </row>
    <row r="30" spans="1:9" s="11" customFormat="1" ht="18" customHeight="1" x14ac:dyDescent="0.25">
      <c r="A30" s="48">
        <v>3252</v>
      </c>
      <c r="B30" s="49" t="s">
        <v>54</v>
      </c>
      <c r="C30" s="1">
        <v>17400000000</v>
      </c>
      <c r="D30" s="1">
        <v>0</v>
      </c>
      <c r="E30" s="1">
        <f t="shared" si="0"/>
        <v>17400000000</v>
      </c>
      <c r="F30" s="1">
        <f>F31</f>
        <v>17278000000</v>
      </c>
      <c r="G30" s="53">
        <f t="shared" si="5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0"/>
        <v>17400000000</v>
      </c>
      <c r="F31" s="2">
        <v>17278000000</v>
      </c>
      <c r="G31" s="53">
        <f t="shared" si="5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5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5"/>
        <v>-19089385</v>
      </c>
    </row>
    <row r="34" spans="1:9" ht="23.25" customHeight="1" x14ac:dyDescent="0.25">
      <c r="A34" s="4">
        <v>325511</v>
      </c>
      <c r="B34" s="61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51" t="s">
        <v>36</v>
      </c>
      <c r="B40" s="152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66"/>
      <c r="B41" s="67"/>
      <c r="C41" s="67"/>
      <c r="D41" s="67"/>
      <c r="E41" s="67"/>
      <c r="F41" s="67"/>
      <c r="G41" s="68"/>
    </row>
    <row r="42" spans="1:9" ht="20.25" customHeight="1" x14ac:dyDescent="0.25">
      <c r="A42" s="66"/>
      <c r="B42" s="67"/>
      <c r="C42" s="67"/>
      <c r="D42" s="67"/>
      <c r="E42" s="69"/>
      <c r="F42" s="67"/>
      <c r="G42" s="68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62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62"/>
      <c r="E45" s="62" t="s">
        <v>42</v>
      </c>
      <c r="G45" s="19"/>
    </row>
    <row r="46" spans="1:9" s="15" customFormat="1" ht="18.75" customHeight="1" x14ac:dyDescent="0.25">
      <c r="A46" s="20"/>
      <c r="B46" s="8"/>
      <c r="C46" s="62"/>
      <c r="D46" s="62"/>
      <c r="E46" s="62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63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64"/>
      <c r="E50" s="65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2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44" sqref="G44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5" t="s">
        <v>0</v>
      </c>
      <c r="B1" s="146"/>
      <c r="C1" s="146"/>
      <c r="D1" s="146"/>
      <c r="E1" s="146"/>
      <c r="F1" s="146"/>
      <c r="G1" s="147"/>
    </row>
    <row r="2" spans="1:7" ht="5.25" customHeight="1" x14ac:dyDescent="0.25">
      <c r="A2" s="148"/>
      <c r="B2" s="149"/>
      <c r="C2" s="149"/>
      <c r="D2" s="149"/>
      <c r="E2" s="149"/>
      <c r="F2" s="149"/>
      <c r="G2" s="150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F10+F26</f>
        <v>55909102535.970001</v>
      </c>
      <c r="G9" s="11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C27+C32+C35</f>
        <v>23172038700</v>
      </c>
      <c r="D26" s="1">
        <f>D27+D32+D31</f>
        <v>0</v>
      </c>
      <c r="E26" s="1">
        <f t="shared" si="0"/>
        <v>23172038700</v>
      </c>
      <c r="F26" s="1">
        <f>F27+F31</f>
        <v>17973298940.529999</v>
      </c>
      <c r="G26" s="53">
        <f>G27+G32+G31</f>
        <v>5320739759.4700003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6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0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ht="18" customHeight="1" x14ac:dyDescent="0.25">
      <c r="A31" s="48">
        <v>325</v>
      </c>
      <c r="B31" s="49" t="s">
        <v>27</v>
      </c>
      <c r="C31" s="1">
        <f>C32+C34</f>
        <v>17400000000</v>
      </c>
      <c r="D31" s="1">
        <f t="shared" ref="D31:E31" si="5">D32+D34</f>
        <v>0</v>
      </c>
      <c r="E31" s="1">
        <f t="shared" si="5"/>
        <v>17400000000</v>
      </c>
      <c r="F31" s="1">
        <f>F32+F34</f>
        <v>17354642167</v>
      </c>
      <c r="G31" s="53">
        <f>E31-F31</f>
        <v>45357833</v>
      </c>
    </row>
    <row r="32" spans="1:9" s="11" customFormat="1" ht="18" customHeight="1" x14ac:dyDescent="0.25">
      <c r="A32" s="48">
        <v>3252</v>
      </c>
      <c r="B32" s="49" t="s">
        <v>54</v>
      </c>
      <c r="C32" s="1">
        <v>17400000000</v>
      </c>
      <c r="D32" s="1">
        <v>0</v>
      </c>
      <c r="E32" s="1">
        <f t="shared" si="0"/>
        <v>17400000000</v>
      </c>
      <c r="F32" s="1">
        <f>F33</f>
        <v>17278000000</v>
      </c>
      <c r="G32" s="53">
        <f>E32-F32</f>
        <v>122000000</v>
      </c>
    </row>
    <row r="33" spans="1:9" ht="18" customHeight="1" x14ac:dyDescent="0.25">
      <c r="A33" s="4">
        <v>32521</v>
      </c>
      <c r="B33" s="5" t="s">
        <v>54</v>
      </c>
      <c r="C33" s="2">
        <v>17400000000</v>
      </c>
      <c r="D33" s="2">
        <v>0</v>
      </c>
      <c r="E33" s="2">
        <f t="shared" si="0"/>
        <v>17400000000</v>
      </c>
      <c r="F33" s="2">
        <v>17278000000</v>
      </c>
      <c r="G33" s="3">
        <f>E33-F33</f>
        <v>122000000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>E34-F34</f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>E35-F35</f>
        <v>-76642167</v>
      </c>
    </row>
    <row r="36" spans="1:9" ht="23.25" customHeight="1" x14ac:dyDescent="0.25">
      <c r="A36" s="4">
        <v>325511</v>
      </c>
      <c r="B36" s="61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51" t="s">
        <v>36</v>
      </c>
      <c r="B42" s="152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66"/>
      <c r="B43" s="67"/>
      <c r="C43" s="67"/>
      <c r="D43" s="67"/>
      <c r="E43" s="67"/>
      <c r="F43" s="67"/>
      <c r="G43" s="68"/>
    </row>
    <row r="44" spans="1:9" ht="20.25" customHeight="1" x14ac:dyDescent="0.25">
      <c r="A44" s="66"/>
      <c r="B44" s="67"/>
      <c r="C44" s="67"/>
      <c r="D44" s="67"/>
      <c r="E44" s="69"/>
      <c r="F44" s="67"/>
      <c r="G44" s="68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62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62"/>
      <c r="E47" s="62" t="s">
        <v>42</v>
      </c>
      <c r="G47" s="19"/>
    </row>
    <row r="48" spans="1:9" s="15" customFormat="1" ht="18.75" customHeight="1" x14ac:dyDescent="0.25">
      <c r="A48" s="20"/>
      <c r="B48" s="8"/>
      <c r="C48" s="62"/>
      <c r="D48" s="62"/>
      <c r="E48" s="62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63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64"/>
      <c r="E52" s="65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6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5" t="s">
        <v>0</v>
      </c>
      <c r="B1" s="146"/>
      <c r="C1" s="146"/>
      <c r="D1" s="146"/>
      <c r="E1" s="146"/>
      <c r="F1" s="146"/>
      <c r="G1" s="147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C25+C30+C33</f>
        <v>23172038700</v>
      </c>
      <c r="D24" s="1">
        <f>D25+D30+D29</f>
        <v>0</v>
      </c>
      <c r="E24" s="1">
        <f t="shared" si="0"/>
        <v>23172038700</v>
      </c>
      <c r="F24" s="1">
        <f>F25+F29</f>
        <v>17992179305.41</v>
      </c>
      <c r="G24" s="53">
        <f>E24-F24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F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>E25-F25</f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1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 t="shared" ref="D29:E29" si="5">D30+D32</f>
        <v>0</v>
      </c>
      <c r="E29" s="1">
        <f t="shared" si="5"/>
        <v>17400000000</v>
      </c>
      <c r="F29" s="1">
        <f>F30+F32</f>
        <v>17361481867</v>
      </c>
      <c r="G29" s="1">
        <f>E29-F29</f>
        <v>38518133</v>
      </c>
      <c r="H29" s="7"/>
    </row>
    <row r="30" spans="1:9" s="11" customFormat="1" ht="18" customHeight="1" x14ac:dyDescent="0.25">
      <c r="A30" s="48">
        <v>3252</v>
      </c>
      <c r="B30" s="49" t="s">
        <v>54</v>
      </c>
      <c r="C30" s="1">
        <v>17400000000</v>
      </c>
      <c r="D30" s="1">
        <v>0</v>
      </c>
      <c r="E30" s="1">
        <f t="shared" si="0"/>
        <v>17400000000</v>
      </c>
      <c r="F30" s="1">
        <f>F31</f>
        <v>17278000000</v>
      </c>
      <c r="G30" s="53">
        <f t="shared" si="4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0"/>
        <v>17400000000</v>
      </c>
      <c r="F31" s="2">
        <v>17278000000</v>
      </c>
      <c r="G31" s="3">
        <f t="shared" si="4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61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51" t="s">
        <v>36</v>
      </c>
      <c r="B40" s="152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53" t="s">
        <v>60</v>
      </c>
      <c r="B41" s="154"/>
      <c r="C41" s="154"/>
      <c r="D41" s="154"/>
      <c r="E41" s="154"/>
      <c r="F41" s="154"/>
      <c r="G41" s="155"/>
    </row>
    <row r="42" spans="1:9" ht="9" customHeight="1" x14ac:dyDescent="0.25">
      <c r="A42" s="156"/>
      <c r="B42" s="157"/>
      <c r="C42" s="157"/>
      <c r="D42" s="157"/>
      <c r="E42" s="157"/>
      <c r="F42" s="157"/>
      <c r="G42" s="158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62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62"/>
      <c r="E45" s="62" t="s">
        <v>42</v>
      </c>
      <c r="G45" s="19"/>
    </row>
    <row r="46" spans="1:9" s="15" customFormat="1" ht="11.25" customHeight="1" x14ac:dyDescent="0.25">
      <c r="A46" s="20"/>
      <c r="B46" s="8"/>
      <c r="C46" s="62"/>
      <c r="D46" s="62"/>
      <c r="E46" s="62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63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64"/>
      <c r="E50" s="65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6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5" t="s">
        <v>0</v>
      </c>
      <c r="B1" s="146"/>
      <c r="C1" s="146"/>
      <c r="D1" s="146"/>
      <c r="E1" s="146"/>
      <c r="F1" s="146"/>
      <c r="G1" s="147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40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 t="shared" si="1"/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 t="shared" si="1"/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 t="shared" si="1"/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 t="shared" si="1"/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 t="shared" si="1"/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 t="shared" si="1"/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1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 t="shared" si="1"/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C25+C30+C33</f>
        <v>23172038700</v>
      </c>
      <c r="D24" s="1">
        <f>D25+D30+D29</f>
        <v>0</v>
      </c>
      <c r="E24" s="1">
        <f t="shared" si="0"/>
        <v>23172038700</v>
      </c>
      <c r="F24" s="1">
        <f>F25+F29</f>
        <v>18632854165.470001</v>
      </c>
      <c r="G24" s="53">
        <f t="shared" si="1"/>
        <v>4539184534.5299988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F25" si="3">D26+D27+D28</f>
        <v>0</v>
      </c>
      <c r="E25" s="55">
        <f t="shared" si="3"/>
        <v>5772038700</v>
      </c>
      <c r="F25" s="55">
        <f t="shared" si="3"/>
        <v>1042825555.8099999</v>
      </c>
      <c r="G25" s="53">
        <f t="shared" si="1"/>
        <v>4729213144.1900005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si="1"/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1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1"/>
        <v>-465782457.08999997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 t="shared" ref="D29:E29" si="4">D30+D32</f>
        <v>0</v>
      </c>
      <c r="E29" s="1">
        <f t="shared" si="4"/>
        <v>17400000000</v>
      </c>
      <c r="F29" s="1">
        <f>F30+F32</f>
        <v>17590028609.66</v>
      </c>
      <c r="G29" s="53">
        <f t="shared" si="1"/>
        <v>-190028609.65999985</v>
      </c>
    </row>
    <row r="30" spans="1:9" s="11" customFormat="1" ht="18" customHeight="1" x14ac:dyDescent="0.25">
      <c r="A30" s="48">
        <v>3252</v>
      </c>
      <c r="B30" s="49" t="s">
        <v>54</v>
      </c>
      <c r="C30" s="1">
        <v>17400000000</v>
      </c>
      <c r="D30" s="1">
        <v>0</v>
      </c>
      <c r="E30" s="1">
        <f t="shared" si="0"/>
        <v>17400000000</v>
      </c>
      <c r="F30" s="1">
        <f>F31</f>
        <v>17278000000</v>
      </c>
      <c r="G30" s="53">
        <f t="shared" si="1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0"/>
        <v>17400000000</v>
      </c>
      <c r="F31" s="2">
        <v>17278000000</v>
      </c>
      <c r="G31" s="3">
        <f t="shared" si="1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61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51" t="s">
        <v>36</v>
      </c>
      <c r="B40" s="152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53">
        <f t="shared" si="1"/>
        <v>1890140048704.0601</v>
      </c>
      <c r="I40" s="13"/>
    </row>
    <row r="41" spans="1:9" ht="28.5" customHeight="1" x14ac:dyDescent="0.25">
      <c r="A41" s="153" t="s">
        <v>60</v>
      </c>
      <c r="B41" s="154"/>
      <c r="C41" s="154"/>
      <c r="D41" s="154"/>
      <c r="E41" s="154"/>
      <c r="F41" s="154"/>
      <c r="G41" s="155"/>
    </row>
    <row r="42" spans="1:9" ht="9" customHeight="1" x14ac:dyDescent="0.25">
      <c r="A42" s="156"/>
      <c r="B42" s="157"/>
      <c r="C42" s="157"/>
      <c r="D42" s="157"/>
      <c r="E42" s="157"/>
      <c r="F42" s="157"/>
      <c r="G42" s="158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62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62"/>
      <c r="E45" s="62" t="s">
        <v>42</v>
      </c>
      <c r="G45" s="19"/>
    </row>
    <row r="46" spans="1:9" s="15" customFormat="1" ht="11.25" customHeight="1" x14ac:dyDescent="0.25">
      <c r="A46" s="20"/>
      <c r="B46" s="8"/>
      <c r="C46" s="62"/>
      <c r="D46" s="62"/>
      <c r="E46" s="62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63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64"/>
      <c r="E50" s="65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7:F23 E24 E16 F30:F31 F35 F26:F28 F32:F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7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45" t="s">
        <v>0</v>
      </c>
      <c r="B1" s="146"/>
      <c r="C1" s="146"/>
      <c r="D1" s="146"/>
      <c r="E1" s="146"/>
      <c r="F1" s="146"/>
      <c r="G1" s="147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C25+C30+C33</f>
        <v>23172038700</v>
      </c>
      <c r="D24" s="1">
        <f>-D25-D30</f>
        <v>0</v>
      </c>
      <c r="E24" s="1">
        <f t="shared" si="0"/>
        <v>23172038700</v>
      </c>
      <c r="F24" s="1">
        <f>F25+F29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 t="shared" ref="D29:F29" si="3">D30+D32</f>
        <v>0</v>
      </c>
      <c r="E29" s="1">
        <f t="shared" si="3"/>
        <v>17400000000</v>
      </c>
      <c r="F29" s="1">
        <f t="shared" si="3"/>
        <v>17607467448.48</v>
      </c>
      <c r="G29" s="1">
        <f>E29-F29</f>
        <v>-207467448.47999954</v>
      </c>
    </row>
    <row r="30" spans="1:9" s="11" customFormat="1" ht="18" customHeight="1" x14ac:dyDescent="0.25">
      <c r="A30" s="48">
        <v>3252</v>
      </c>
      <c r="B30" s="49" t="s">
        <v>54</v>
      </c>
      <c r="C30" s="1">
        <f>+C31</f>
        <v>17400000000</v>
      </c>
      <c r="D30" s="1">
        <f>-D31</f>
        <v>0</v>
      </c>
      <c r="E30" s="1">
        <f t="shared" si="0"/>
        <v>17400000000</v>
      </c>
      <c r="F30" s="1">
        <f>F31</f>
        <v>17278000000</v>
      </c>
      <c r="G30" s="53">
        <f t="shared" si="2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0"/>
        <v>17400000000</v>
      </c>
      <c r="F31" s="2">
        <v>17278000000</v>
      </c>
      <c r="G31" s="3">
        <f t="shared" si="2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325513</v>
      </c>
      <c r="B35" s="57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51" t="s">
        <v>36</v>
      </c>
      <c r="B41" s="152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H41" s="12"/>
      <c r="I41" s="13"/>
    </row>
    <row r="42" spans="1:9" ht="28.5" customHeight="1" x14ac:dyDescent="0.25">
      <c r="A42" s="153" t="s">
        <v>60</v>
      </c>
      <c r="B42" s="154"/>
      <c r="C42" s="154"/>
      <c r="D42" s="154"/>
      <c r="E42" s="154"/>
      <c r="F42" s="154"/>
      <c r="G42" s="155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topLeftCell="A23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9" t="s">
        <v>0</v>
      </c>
      <c r="B1" s="160"/>
      <c r="C1" s="160"/>
      <c r="D1" s="160"/>
      <c r="E1" s="160"/>
      <c r="F1" s="160"/>
      <c r="G1" s="161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127">
        <v>3</v>
      </c>
      <c r="B7" s="128" t="s">
        <v>12</v>
      </c>
      <c r="C7" s="129">
        <f>C8+C24</f>
        <v>270945742666</v>
      </c>
      <c r="D7" s="129">
        <f>D8+D24</f>
        <v>0</v>
      </c>
      <c r="E7" s="129">
        <f>E8+E24</f>
        <v>270945742666</v>
      </c>
      <c r="F7" s="129">
        <f>F8+F24</f>
        <v>142453526982.56</v>
      </c>
      <c r="G7" s="130">
        <f>E7-F7</f>
        <v>128492215683.44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F8" si="0">+D9</f>
        <v>0</v>
      </c>
      <c r="E8" s="1">
        <f t="shared" si="0"/>
        <v>247773703966</v>
      </c>
      <c r="F8" s="1">
        <f t="shared" si="0"/>
        <v>113677813166.47</v>
      </c>
      <c r="G8" s="130">
        <f t="shared" ref="G8:G41" si="1">E8-F8</f>
        <v>134095890799.53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113677813166.47</v>
      </c>
      <c r="G9" s="130">
        <f t="shared" si="1"/>
        <v>134095890799.53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7866465787.4399996</v>
      </c>
      <c r="G10" s="130">
        <f t="shared" si="1"/>
        <v>30960534212.560001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7786121753.4399996</v>
      </c>
      <c r="G11" s="130">
        <f t="shared" si="1"/>
        <v>31040878246.560001</v>
      </c>
    </row>
    <row r="12" spans="1:9" s="11" customFormat="1" ht="18" customHeight="1" x14ac:dyDescent="0.25">
      <c r="A12" s="4">
        <v>312712</v>
      </c>
      <c r="B12" s="131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137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</f>
        <v>445840034.44</v>
      </c>
      <c r="G13" s="137">
        <f>E13-F13</f>
        <v>335159965.56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2">+C14+D14</f>
        <v>0</v>
      </c>
      <c r="F14" s="1">
        <f>F15</f>
        <v>80344034</v>
      </c>
      <c r="G14" s="130">
        <f t="shared" si="1"/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2"/>
        <v>0</v>
      </c>
      <c r="F15" s="2">
        <f>8103579+30000000+42240455</f>
        <v>80344034</v>
      </c>
      <c r="G15" s="137">
        <f t="shared" si="1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105811347379.03</v>
      </c>
      <c r="G16" s="130">
        <f t="shared" si="1"/>
        <v>103135356586.97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87473932336.369995</v>
      </c>
      <c r="G17" s="130">
        <f t="shared" si="1"/>
        <v>114467771629.63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2"/>
        <v>201941703966</v>
      </c>
      <c r="F18" s="2">
        <f>15816454689+14745248531+12958717740+16325653488+14107081507+13520776381.37</f>
        <v>87473932336.369995</v>
      </c>
      <c r="G18" s="137">
        <f t="shared" si="1"/>
        <v>114467771629.63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18337415042.66</v>
      </c>
      <c r="G19" s="130">
        <f t="shared" si="1"/>
        <v>-11332415042.66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2"/>
        <v>7000000000</v>
      </c>
      <c r="F20" s="2">
        <f>7192027228+5843992814.76+25693464.22+5203906186.16</f>
        <v>18265619693.139999</v>
      </c>
      <c r="G20" s="130">
        <f t="shared" si="1"/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2"/>
        <v>0</v>
      </c>
      <c r="F21" s="2">
        <v>0</v>
      </c>
      <c r="G21" s="137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2"/>
        <v>0</v>
      </c>
      <c r="F22" s="2">
        <v>66900000</v>
      </c>
      <c r="G22" s="137">
        <f t="shared" si="1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2"/>
        <v>5000000</v>
      </c>
      <c r="F23" s="2">
        <f>4271095.8+624253.72</f>
        <v>4895349.5199999996</v>
      </c>
      <c r="G23" s="137">
        <f t="shared" si="1"/>
        <v>104650.48000000045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C25+C30+C32</f>
        <v>23172038700</v>
      </c>
      <c r="D24" s="1">
        <f>-D25-D30</f>
        <v>0</v>
      </c>
      <c r="E24" s="1">
        <f>E25+E30+E32</f>
        <v>23172038700</v>
      </c>
      <c r="F24" s="1">
        <f>F25+F30+F32</f>
        <v>28775713816.09</v>
      </c>
      <c r="G24" s="130">
        <f t="shared" si="1"/>
        <v>-5603675116.0900002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11168246367.610001</v>
      </c>
      <c r="G25" s="130">
        <f t="shared" si="1"/>
        <v>-5396207667.6100006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2"/>
        <v>40000000</v>
      </c>
      <c r="F26" s="2">
        <f>4881153.79+2838203.94+1413157.72+4490252.98+4058270.11+3584154.04</f>
        <v>21265192.580000002</v>
      </c>
      <c r="G26" s="137">
        <f t="shared" si="1"/>
        <v>18734807.419999998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2"/>
        <v>5732038700</v>
      </c>
      <c r="F27" s="2">
        <f>563420330.29+10107051983.96+10726403.69</f>
        <v>10681198717.940001</v>
      </c>
      <c r="G27" s="137">
        <f t="shared" si="1"/>
        <v>-4949160017.9400005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2"/>
        <v>0</v>
      </c>
      <c r="F28" s="2">
        <f>463441064.59+2341392.5</f>
        <v>465782457.08999997</v>
      </c>
      <c r="G28" s="137">
        <f t="shared" si="1"/>
        <v>-465782457.08999997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 t="shared" ref="D29:F29" si="3">D30+D32</f>
        <v>0</v>
      </c>
      <c r="E29" s="1">
        <f t="shared" si="3"/>
        <v>17400000000</v>
      </c>
      <c r="F29" s="1">
        <f t="shared" si="3"/>
        <v>17607467448.48</v>
      </c>
      <c r="G29" s="130">
        <f t="shared" si="1"/>
        <v>-207467448.47999954</v>
      </c>
    </row>
    <row r="30" spans="1:9" s="11" customFormat="1" ht="18" customHeight="1" x14ac:dyDescent="0.25">
      <c r="A30" s="48">
        <v>3252</v>
      </c>
      <c r="B30" s="49" t="s">
        <v>54</v>
      </c>
      <c r="C30" s="1">
        <f>+C31</f>
        <v>17400000000</v>
      </c>
      <c r="D30" s="1">
        <f>-D31</f>
        <v>0</v>
      </c>
      <c r="E30" s="1">
        <f>E31</f>
        <v>17400000000</v>
      </c>
      <c r="F30" s="1">
        <f>F31</f>
        <v>17278000000</v>
      </c>
      <c r="G30" s="130">
        <f t="shared" si="1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2"/>
        <v>17400000000</v>
      </c>
      <c r="F31" s="2">
        <v>17278000000</v>
      </c>
      <c r="G31" s="137">
        <f t="shared" si="1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2"/>
        <v>0</v>
      </c>
      <c r="F32" s="1">
        <f>F33</f>
        <v>329467448.48000002</v>
      </c>
      <c r="G32" s="130">
        <f t="shared" si="1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130">
        <f t="shared" si="1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2"/>
        <v>0</v>
      </c>
      <c r="F34" s="2">
        <f>228546742.66+10222866.04</f>
        <v>238769608.69999999</v>
      </c>
      <c r="G34" s="137">
        <f t="shared" si="1"/>
        <v>-238769608.69999999</v>
      </c>
    </row>
    <row r="35" spans="1:9" ht="28.5" customHeight="1" x14ac:dyDescent="0.25">
      <c r="A35" s="4">
        <v>325513</v>
      </c>
      <c r="B35" s="57" t="s">
        <v>63</v>
      </c>
      <c r="C35" s="2">
        <v>0</v>
      </c>
      <c r="D35" s="2">
        <v>0</v>
      </c>
      <c r="E35" s="1">
        <f t="shared" si="2"/>
        <v>0</v>
      </c>
      <c r="F35" s="2">
        <v>7215972.7800000003</v>
      </c>
      <c r="G35" s="137">
        <f t="shared" si="1"/>
        <v>-7215972.7800000003</v>
      </c>
    </row>
    <row r="36" spans="1:9" ht="33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137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-319000000000</v>
      </c>
      <c r="E37" s="1">
        <f>E38+E39+E40</f>
        <v>1906294901123</v>
      </c>
      <c r="F37" s="1">
        <f>F38+F39+F40</f>
        <v>342462362204</v>
      </c>
      <c r="G37" s="130">
        <f t="shared" si="1"/>
        <v>1563832538919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2"/>
        <v>1741080189</v>
      </c>
      <c r="F38" s="80">
        <v>1200000000</v>
      </c>
      <c r="G38" s="137">
        <f t="shared" si="1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2"/>
        <v>666693528550</v>
      </c>
      <c r="F39" s="132">
        <f>284938138382+55233781613</f>
        <v>340171919995</v>
      </c>
      <c r="G39" s="137">
        <f t="shared" si="1"/>
        <v>326521608555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</f>
        <v>-319000000000</v>
      </c>
      <c r="E40" s="2">
        <f>C40+D40</f>
        <v>1237860292384</v>
      </c>
      <c r="F40" s="82">
        <f>1002410070.77+88032138.23</f>
        <v>1090442209</v>
      </c>
      <c r="G40" s="137">
        <f t="shared" si="1"/>
        <v>1236769850175</v>
      </c>
      <c r="H40" s="7"/>
      <c r="I40" s="7"/>
    </row>
    <row r="41" spans="1:9" s="11" customFormat="1" ht="18" customHeight="1" thickBot="1" x14ac:dyDescent="0.3">
      <c r="A41" s="151" t="s">
        <v>36</v>
      </c>
      <c r="B41" s="152"/>
      <c r="C41" s="59">
        <f>C7+C37</f>
        <v>2496240643789</v>
      </c>
      <c r="D41" s="59">
        <f>D7+D37</f>
        <v>-319000000000</v>
      </c>
      <c r="E41" s="59">
        <f>E7+E37</f>
        <v>2177240643789</v>
      </c>
      <c r="F41" s="59">
        <f>F7+F37</f>
        <v>484915889186.56</v>
      </c>
      <c r="G41" s="130">
        <f t="shared" si="1"/>
        <v>1692324754602.4399</v>
      </c>
      <c r="H41" s="12"/>
      <c r="I41" s="13"/>
    </row>
    <row r="42" spans="1:9" ht="28.5" customHeight="1" x14ac:dyDescent="0.25">
      <c r="A42" s="153" t="s">
        <v>65</v>
      </c>
      <c r="B42" s="154"/>
      <c r="C42" s="154"/>
      <c r="D42" s="154"/>
      <c r="E42" s="154"/>
      <c r="F42" s="154"/>
      <c r="G42" s="155"/>
    </row>
    <row r="43" spans="1:9" ht="26.25" customHeight="1" x14ac:dyDescent="0.25">
      <c r="A43" s="133"/>
      <c r="B43" s="134"/>
      <c r="C43" s="134"/>
      <c r="D43" s="135"/>
      <c r="E43" s="135"/>
      <c r="F43" s="134"/>
      <c r="G43" s="136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E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topLeftCell="A27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12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12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66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51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E7-F7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F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ref="G8:G41" si="1">E8-F8</f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 t="shared" si="1"/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 t="shared" si="1"/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 t="shared" si="1"/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 t="shared" si="1"/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2">+C14+D14</f>
        <v>0</v>
      </c>
      <c r="F14" s="1">
        <f>F15</f>
        <v>80344034</v>
      </c>
      <c r="G14" s="53">
        <f t="shared" si="1"/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2"/>
        <v>0</v>
      </c>
      <c r="F15" s="2">
        <f>8103579+30000000+42240455</f>
        <v>80344034</v>
      </c>
      <c r="G15" s="3">
        <f t="shared" si="1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 t="shared" si="1"/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 t="shared" si="1"/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2"/>
        <v>201941703966</v>
      </c>
      <c r="F18" s="2">
        <f>15816454689+14745248531+12958717740+16325653488+14107081507+13520776381.37+14857984875</f>
        <v>102331917211.37</v>
      </c>
      <c r="G18" s="3">
        <f t="shared" si="1"/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 t="shared" si="1"/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2"/>
        <v>7000000000</v>
      </c>
      <c r="F20" s="2">
        <f>7192027228+5843992814.76+25693464.22+5203906186.16</f>
        <v>18265619693.139999</v>
      </c>
      <c r="G20" s="3">
        <f t="shared" si="1"/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2"/>
        <v>0</v>
      </c>
      <c r="F21" s="2">
        <v>1567139</v>
      </c>
      <c r="G21" s="3">
        <f t="shared" si="1"/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2"/>
        <v>0</v>
      </c>
      <c r="F22" s="2">
        <v>66900000</v>
      </c>
      <c r="G22" s="3">
        <f t="shared" si="1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2"/>
        <v>5000000</v>
      </c>
      <c r="F23" s="2">
        <f>4271095.8+624253.72+569967</f>
        <v>5465316.5199999996</v>
      </c>
      <c r="G23" s="3">
        <f t="shared" si="1"/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C25+C30+C32</f>
        <v>23172038700</v>
      </c>
      <c r="D24" s="1">
        <f>-D25-D30</f>
        <v>0</v>
      </c>
      <c r="E24" s="1">
        <f>E25+E30+E32</f>
        <v>23172038700</v>
      </c>
      <c r="F24" s="1">
        <f>F25+F29</f>
        <v>29198246619.599998</v>
      </c>
      <c r="G24" s="53">
        <f t="shared" si="1"/>
        <v>-6026207919.5999985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3">
        <f t="shared" si="1"/>
        <v>-5818740471.1200008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2"/>
        <v>40000000</v>
      </c>
      <c r="F26" s="2">
        <f>4881153.79+2838203.94+1413157.72+4490252.98+4058270.11+3584154.04+2409267.06</f>
        <v>23674459.640000001</v>
      </c>
      <c r="G26" s="3">
        <f t="shared" si="1"/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2"/>
        <v>5732038700</v>
      </c>
      <c r="F27" s="2">
        <f>563420330.29+10107051983.96+10726403.69+420123536.45</f>
        <v>11101322254.390001</v>
      </c>
      <c r="G27" s="53">
        <f t="shared" si="1"/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2"/>
        <v>0</v>
      </c>
      <c r="F28" s="2">
        <f>463441064.59+2341392.5</f>
        <v>465782457.08999997</v>
      </c>
      <c r="G28" s="3">
        <f t="shared" si="1"/>
        <v>-465782457.08999997</v>
      </c>
    </row>
    <row r="29" spans="1:9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>-D32</f>
        <v>0</v>
      </c>
      <c r="E29" s="1">
        <f>+C29+D29</f>
        <v>17400000000</v>
      </c>
      <c r="F29" s="1">
        <f>F30+F32</f>
        <v>17607467448.48</v>
      </c>
      <c r="G29" s="53">
        <f t="shared" si="1"/>
        <v>-207467448.47999954</v>
      </c>
      <c r="H29" s="7"/>
    </row>
    <row r="30" spans="1:9" s="11" customFormat="1" ht="18" customHeight="1" x14ac:dyDescent="0.25">
      <c r="A30" s="48">
        <v>3252</v>
      </c>
      <c r="B30" s="49" t="s">
        <v>54</v>
      </c>
      <c r="C30" s="1">
        <f>+C31</f>
        <v>17400000000</v>
      </c>
      <c r="D30" s="1">
        <f>-D31</f>
        <v>0</v>
      </c>
      <c r="E30" s="1">
        <f>E31</f>
        <v>17400000000</v>
      </c>
      <c r="F30" s="1">
        <f>F31</f>
        <v>17278000000</v>
      </c>
      <c r="G30" s="53">
        <f t="shared" si="1"/>
        <v>122000000</v>
      </c>
    </row>
    <row r="31" spans="1:9" ht="18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2"/>
        <v>17400000000</v>
      </c>
      <c r="F31" s="2">
        <v>17278000000</v>
      </c>
      <c r="G31" s="3">
        <f t="shared" si="1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2"/>
        <v>0</v>
      </c>
      <c r="F32" s="1">
        <f>F33</f>
        <v>329467448.48000002</v>
      </c>
      <c r="G32" s="53">
        <f t="shared" si="1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 t="shared" si="1"/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2"/>
        <v>0</v>
      </c>
      <c r="F34" s="2">
        <f>228546742.66+10222866.04</f>
        <v>238769608.69999999</v>
      </c>
      <c r="G34" s="3">
        <f t="shared" si="1"/>
        <v>-238769608.69999999</v>
      </c>
    </row>
    <row r="35" spans="1:9" ht="27" customHeight="1" x14ac:dyDescent="0.25">
      <c r="A35" s="4">
        <v>325513</v>
      </c>
      <c r="B35" s="57" t="s">
        <v>63</v>
      </c>
      <c r="C35" s="2">
        <v>0</v>
      </c>
      <c r="D35" s="2">
        <v>0</v>
      </c>
      <c r="E35" s="1">
        <f t="shared" si="2"/>
        <v>0</v>
      </c>
      <c r="F35" s="2">
        <v>7215972.7800000003</v>
      </c>
      <c r="G35" s="3">
        <f t="shared" si="1"/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 t="shared" si="1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 t="shared" si="1"/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2"/>
        <v>1741080189</v>
      </c>
      <c r="F38" s="80">
        <v>1200000000</v>
      </c>
      <c r="G38" s="3">
        <f t="shared" si="1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2"/>
        <v>666693528550</v>
      </c>
      <c r="F39" s="81">
        <v>497313883000.75</v>
      </c>
      <c r="G39" s="3">
        <f t="shared" si="1"/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82">
        <v>1799301222.52</v>
      </c>
      <c r="G40" s="3">
        <f t="shared" si="1"/>
        <v>1216060991161.48</v>
      </c>
      <c r="H40" s="7"/>
      <c r="I40" s="7"/>
    </row>
    <row r="41" spans="1:9" s="11" customFormat="1" ht="18" customHeight="1" thickBot="1" x14ac:dyDescent="0.3">
      <c r="A41" s="151" t="s">
        <v>36</v>
      </c>
      <c r="B41" s="152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53">
        <f t="shared" si="1"/>
        <v>1499125452291.6599</v>
      </c>
      <c r="H41" s="12"/>
      <c r="I41" s="13"/>
    </row>
    <row r="42" spans="1:9" ht="42" customHeight="1" x14ac:dyDescent="0.25">
      <c r="A42" s="153" t="s">
        <v>67</v>
      </c>
      <c r="B42" s="154"/>
      <c r="C42" s="154"/>
      <c r="D42" s="154"/>
      <c r="E42" s="154"/>
      <c r="F42" s="154"/>
      <c r="G42" s="155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7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12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12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68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51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18" customHeight="1" x14ac:dyDescent="0.25">
      <c r="A7" s="83">
        <v>3</v>
      </c>
      <c r="B7" s="84" t="s">
        <v>12</v>
      </c>
      <c r="C7" s="85">
        <f>C8+C24</f>
        <v>270945742666</v>
      </c>
      <c r="D7" s="85">
        <f>D8+D24</f>
        <v>0</v>
      </c>
      <c r="E7" s="85">
        <f>E8+E24</f>
        <v>270945742666</v>
      </c>
      <c r="F7" s="85">
        <f>F8+F24</f>
        <v>173111098390.35001</v>
      </c>
      <c r="G7" s="86">
        <f t="shared" ref="G7:G16" si="0">E7-F7</f>
        <v>97834644275.649994</v>
      </c>
    </row>
    <row r="8" spans="1:9" s="11" customFormat="1" ht="18" customHeight="1" x14ac:dyDescent="0.25">
      <c r="A8" s="83">
        <v>31</v>
      </c>
      <c r="B8" s="84" t="s">
        <v>13</v>
      </c>
      <c r="C8" s="85">
        <f>+C9</f>
        <v>247773703966</v>
      </c>
      <c r="D8" s="85">
        <f t="shared" ref="D8:F8" si="1">+D9</f>
        <v>0</v>
      </c>
      <c r="E8" s="85">
        <f t="shared" si="1"/>
        <v>247773703966</v>
      </c>
      <c r="F8" s="85">
        <f t="shared" si="1"/>
        <v>143735836278.47</v>
      </c>
      <c r="G8" s="87">
        <f t="shared" si="0"/>
        <v>104037867687.53</v>
      </c>
    </row>
    <row r="9" spans="1:9" s="11" customFormat="1" ht="18" customHeight="1" x14ac:dyDescent="0.25">
      <c r="A9" s="83">
        <v>312</v>
      </c>
      <c r="B9" s="84" t="s">
        <v>14</v>
      </c>
      <c r="C9" s="85">
        <f>C10+C16</f>
        <v>247773703966</v>
      </c>
      <c r="D9" s="85">
        <f>D10+D16</f>
        <v>0</v>
      </c>
      <c r="E9" s="85">
        <f>E10+E16</f>
        <v>247773703966</v>
      </c>
      <c r="F9" s="85">
        <f>F10+F16</f>
        <v>143735836278.47</v>
      </c>
      <c r="G9" s="87">
        <f t="shared" si="0"/>
        <v>104037867687.53</v>
      </c>
    </row>
    <row r="10" spans="1:9" s="11" customFormat="1" ht="18" customHeight="1" x14ac:dyDescent="0.25">
      <c r="A10" s="83">
        <v>3127</v>
      </c>
      <c r="B10" s="84" t="s">
        <v>15</v>
      </c>
      <c r="C10" s="85">
        <f>+C11+C14</f>
        <v>38827000000</v>
      </c>
      <c r="D10" s="85">
        <f>+D11+D14</f>
        <v>0</v>
      </c>
      <c r="E10" s="85">
        <f>+E11+E14</f>
        <v>38827000000</v>
      </c>
      <c r="F10" s="85">
        <f>+F11+F14</f>
        <v>8019613730.4400005</v>
      </c>
      <c r="G10" s="87">
        <f t="shared" si="0"/>
        <v>30807386269.559998</v>
      </c>
    </row>
    <row r="11" spans="1:9" s="11" customFormat="1" ht="18" customHeight="1" x14ac:dyDescent="0.25">
      <c r="A11" s="83">
        <v>31271</v>
      </c>
      <c r="B11" s="84" t="s">
        <v>16</v>
      </c>
      <c r="C11" s="85">
        <f>+C12+C13</f>
        <v>38827000000</v>
      </c>
      <c r="D11" s="85">
        <f>+D12+D13</f>
        <v>0</v>
      </c>
      <c r="E11" s="85">
        <f>+E12+E13</f>
        <v>38827000000</v>
      </c>
      <c r="F11" s="85">
        <f>+F12+F13</f>
        <v>7894269696.4400005</v>
      </c>
      <c r="G11" s="87">
        <f t="shared" si="0"/>
        <v>30932730303.559998</v>
      </c>
    </row>
    <row r="12" spans="1:9" s="11" customFormat="1" ht="18" customHeight="1" x14ac:dyDescent="0.25">
      <c r="A12" s="88">
        <v>312712</v>
      </c>
      <c r="B12" s="89" t="s">
        <v>56</v>
      </c>
      <c r="C12" s="90">
        <v>38046000000</v>
      </c>
      <c r="D12" s="85">
        <v>0</v>
      </c>
      <c r="E12" s="90">
        <f>+C12+D12</f>
        <v>38046000000</v>
      </c>
      <c r="F12" s="90">
        <v>7340281719</v>
      </c>
      <c r="G12" s="91">
        <f t="shared" si="0"/>
        <v>30705718281</v>
      </c>
      <c r="H12" s="12"/>
      <c r="I12" s="12"/>
    </row>
    <row r="13" spans="1:9" ht="18" customHeight="1" x14ac:dyDescent="0.25">
      <c r="A13" s="88">
        <v>312717</v>
      </c>
      <c r="B13" s="92" t="s">
        <v>17</v>
      </c>
      <c r="C13" s="90">
        <v>781000000</v>
      </c>
      <c r="D13" s="90">
        <v>0</v>
      </c>
      <c r="E13" s="90">
        <f>+C13+D13</f>
        <v>781000000</v>
      </c>
      <c r="F13" s="90">
        <v>553987977.44000006</v>
      </c>
      <c r="G13" s="91">
        <f t="shared" si="0"/>
        <v>227012022.55999994</v>
      </c>
    </row>
    <row r="14" spans="1:9" ht="18" customHeight="1" x14ac:dyDescent="0.25">
      <c r="A14" s="88">
        <v>31272</v>
      </c>
      <c r="B14" s="93" t="s">
        <v>58</v>
      </c>
      <c r="C14" s="90">
        <f>+C15</f>
        <v>0</v>
      </c>
      <c r="D14" s="90">
        <f>-D15</f>
        <v>0</v>
      </c>
      <c r="E14" s="90">
        <f t="shared" ref="E14:E39" si="2">+C14+D14</f>
        <v>0</v>
      </c>
      <c r="F14" s="85">
        <f>F15</f>
        <v>125344034</v>
      </c>
      <c r="G14" s="87">
        <f t="shared" si="0"/>
        <v>-125344034</v>
      </c>
    </row>
    <row r="15" spans="1:9" ht="18" customHeight="1" x14ac:dyDescent="0.25">
      <c r="A15" s="88">
        <v>312721</v>
      </c>
      <c r="B15" s="92" t="s">
        <v>58</v>
      </c>
      <c r="C15" s="90">
        <v>0</v>
      </c>
      <c r="D15" s="90">
        <v>0</v>
      </c>
      <c r="E15" s="90">
        <f t="shared" si="2"/>
        <v>0</v>
      </c>
      <c r="F15" s="90">
        <v>125344034</v>
      </c>
      <c r="G15" s="91">
        <f t="shared" si="0"/>
        <v>-125344034</v>
      </c>
    </row>
    <row r="16" spans="1:9" s="11" customFormat="1" ht="18" customHeight="1" x14ac:dyDescent="0.25">
      <c r="A16" s="83">
        <v>3128</v>
      </c>
      <c r="B16" s="84" t="s">
        <v>18</v>
      </c>
      <c r="C16" s="85">
        <f>+C17+C19</f>
        <v>208946703966</v>
      </c>
      <c r="D16" s="85">
        <f>+D17+D19</f>
        <v>0</v>
      </c>
      <c r="E16" s="85">
        <f>+E17+E19</f>
        <v>208946703966</v>
      </c>
      <c r="F16" s="85">
        <f>+F17+F19</f>
        <v>135716222548.03</v>
      </c>
      <c r="G16" s="87">
        <f t="shared" si="0"/>
        <v>73230481417.970001</v>
      </c>
    </row>
    <row r="17" spans="1:9" s="11" customFormat="1" ht="18" customHeight="1" x14ac:dyDescent="0.25">
      <c r="A17" s="83">
        <v>31281</v>
      </c>
      <c r="B17" s="84" t="s">
        <v>19</v>
      </c>
      <c r="C17" s="85">
        <f>+C18</f>
        <v>201941703966</v>
      </c>
      <c r="D17" s="85">
        <f>+D18</f>
        <v>0</v>
      </c>
      <c r="E17" s="85">
        <f>+E18</f>
        <v>201941703966</v>
      </c>
      <c r="F17" s="85">
        <f>+F18</f>
        <v>117376162999.37</v>
      </c>
      <c r="G17" s="87">
        <f>E18-F18</f>
        <v>84565540966.630005</v>
      </c>
      <c r="I17" s="12"/>
    </row>
    <row r="18" spans="1:9" ht="18" customHeight="1" x14ac:dyDescent="0.25">
      <c r="A18" s="88">
        <v>312811</v>
      </c>
      <c r="B18" s="94" t="s">
        <v>20</v>
      </c>
      <c r="C18" s="90">
        <v>201941703966</v>
      </c>
      <c r="D18" s="90"/>
      <c r="E18" s="90">
        <f t="shared" si="2"/>
        <v>201941703966</v>
      </c>
      <c r="F18" s="90">
        <v>117376162999.37</v>
      </c>
      <c r="G18" s="91">
        <f t="shared" ref="G18:G23" si="3">E18-F18</f>
        <v>84565540966.630005</v>
      </c>
      <c r="I18" s="7"/>
    </row>
    <row r="19" spans="1:9" s="11" customFormat="1" ht="18" customHeight="1" x14ac:dyDescent="0.25">
      <c r="A19" s="83">
        <v>31282</v>
      </c>
      <c r="B19" s="84" t="s">
        <v>21</v>
      </c>
      <c r="C19" s="85">
        <f>+C20+C21+C22+C23</f>
        <v>7005000000</v>
      </c>
      <c r="D19" s="85">
        <f>-D20-D21-D22-D23</f>
        <v>0</v>
      </c>
      <c r="E19" s="85">
        <f>E20+E21+E22+E23</f>
        <v>7005000000</v>
      </c>
      <c r="F19" s="95">
        <f>F20+F21+F22+F23</f>
        <v>18340059548.66</v>
      </c>
      <c r="G19" s="87">
        <f t="shared" si="3"/>
        <v>-11335059548.66</v>
      </c>
    </row>
    <row r="20" spans="1:9" ht="18" customHeight="1" x14ac:dyDescent="0.25">
      <c r="A20" s="88">
        <v>312821</v>
      </c>
      <c r="B20" s="94" t="s">
        <v>22</v>
      </c>
      <c r="C20" s="90">
        <v>7000000000</v>
      </c>
      <c r="D20" s="90">
        <v>0</v>
      </c>
      <c r="E20" s="90">
        <f t="shared" si="2"/>
        <v>7000000000</v>
      </c>
      <c r="F20" s="90">
        <v>18265619693.139999</v>
      </c>
      <c r="G20" s="91">
        <f t="shared" si="3"/>
        <v>-11265619693.139999</v>
      </c>
    </row>
    <row r="21" spans="1:9" ht="18" customHeight="1" x14ac:dyDescent="0.25">
      <c r="A21" s="88">
        <v>312822</v>
      </c>
      <c r="B21" s="94" t="s">
        <v>23</v>
      </c>
      <c r="C21" s="90">
        <v>0</v>
      </c>
      <c r="D21" s="90">
        <v>0</v>
      </c>
      <c r="E21" s="85">
        <f t="shared" si="2"/>
        <v>0</v>
      </c>
      <c r="F21" s="90">
        <v>1567139</v>
      </c>
      <c r="G21" s="91">
        <f t="shared" si="3"/>
        <v>-1567139</v>
      </c>
    </row>
    <row r="22" spans="1:9" ht="18" customHeight="1" x14ac:dyDescent="0.25">
      <c r="A22" s="88">
        <v>312823</v>
      </c>
      <c r="B22" s="94" t="s">
        <v>51</v>
      </c>
      <c r="C22" s="90">
        <v>0</v>
      </c>
      <c r="D22" s="90">
        <v>0</v>
      </c>
      <c r="E22" s="85">
        <f t="shared" si="2"/>
        <v>0</v>
      </c>
      <c r="F22" s="90">
        <v>66900000</v>
      </c>
      <c r="G22" s="91">
        <f t="shared" si="3"/>
        <v>-66900000</v>
      </c>
    </row>
    <row r="23" spans="1:9" ht="18" customHeight="1" x14ac:dyDescent="0.25">
      <c r="A23" s="88">
        <v>312827</v>
      </c>
      <c r="B23" s="94" t="s">
        <v>52</v>
      </c>
      <c r="C23" s="90">
        <v>5000000</v>
      </c>
      <c r="D23" s="90">
        <v>0</v>
      </c>
      <c r="E23" s="90">
        <f t="shared" si="2"/>
        <v>5000000</v>
      </c>
      <c r="F23" s="90">
        <v>5972716.5199999996</v>
      </c>
      <c r="G23" s="91">
        <f t="shared" si="3"/>
        <v>-972716.51999999955</v>
      </c>
    </row>
    <row r="24" spans="1:9" s="11" customFormat="1" ht="18" customHeight="1" x14ac:dyDescent="0.25">
      <c r="A24" s="83">
        <v>32</v>
      </c>
      <c r="B24" s="84" t="s">
        <v>24</v>
      </c>
      <c r="C24" s="85">
        <f>C25+C30+C32</f>
        <v>23172038700</v>
      </c>
      <c r="D24" s="85">
        <f>-D25-D30</f>
        <v>0</v>
      </c>
      <c r="E24" s="85">
        <f>E25+E30+E32</f>
        <v>23172038700</v>
      </c>
      <c r="F24" s="85">
        <f>F25+F30+F32</f>
        <v>29375262111.880001</v>
      </c>
      <c r="G24" s="87">
        <f t="shared" ref="G24" si="4">+E24-F24</f>
        <v>-6203223411.8800011</v>
      </c>
      <c r="H24" s="12"/>
    </row>
    <row r="25" spans="1:9" s="11" customFormat="1" ht="18" customHeight="1" x14ac:dyDescent="0.25">
      <c r="A25" s="83">
        <v>3230</v>
      </c>
      <c r="B25" s="84" t="s">
        <v>25</v>
      </c>
      <c r="C25" s="96">
        <f>+C26+C27+C28</f>
        <v>5772038700</v>
      </c>
      <c r="D25" s="96">
        <f>-D26-D27-D28</f>
        <v>0</v>
      </c>
      <c r="E25" s="96">
        <f>E26+E27+E28</f>
        <v>5772038700</v>
      </c>
      <c r="F25" s="96">
        <f>F26+F27+F28</f>
        <v>11767794663.400002</v>
      </c>
      <c r="G25" s="97">
        <f t="shared" ref="G25:G34" si="5">E25-F25</f>
        <v>-5995755963.4000015</v>
      </c>
    </row>
    <row r="26" spans="1:9" ht="18" customHeight="1" x14ac:dyDescent="0.25">
      <c r="A26" s="88">
        <v>32303</v>
      </c>
      <c r="B26" s="94" t="s">
        <v>26</v>
      </c>
      <c r="C26" s="90">
        <v>40000000</v>
      </c>
      <c r="D26" s="90">
        <v>0</v>
      </c>
      <c r="E26" s="90">
        <f t="shared" si="2"/>
        <v>40000000</v>
      </c>
      <c r="F26" s="90">
        <v>25617011.699999999</v>
      </c>
      <c r="G26" s="91">
        <f t="shared" si="5"/>
        <v>14382988.300000001</v>
      </c>
      <c r="H26" s="7"/>
    </row>
    <row r="27" spans="1:9" ht="18" customHeight="1" x14ac:dyDescent="0.25">
      <c r="A27" s="88">
        <v>32304</v>
      </c>
      <c r="B27" s="94" t="s">
        <v>55</v>
      </c>
      <c r="C27" s="90">
        <v>5732038700</v>
      </c>
      <c r="D27" s="90">
        <v>0</v>
      </c>
      <c r="E27" s="90">
        <f t="shared" si="2"/>
        <v>5732038700</v>
      </c>
      <c r="F27" s="90">
        <v>11276395194.610001</v>
      </c>
      <c r="G27" s="91">
        <f t="shared" si="5"/>
        <v>-5544356494.6100006</v>
      </c>
    </row>
    <row r="28" spans="1:9" ht="18" customHeight="1" x14ac:dyDescent="0.25">
      <c r="A28" s="88">
        <v>32307</v>
      </c>
      <c r="B28" s="94" t="s">
        <v>53</v>
      </c>
      <c r="C28" s="90">
        <v>0</v>
      </c>
      <c r="D28" s="90">
        <v>0</v>
      </c>
      <c r="E28" s="85">
        <f t="shared" si="2"/>
        <v>0</v>
      </c>
      <c r="F28" s="90">
        <v>465782457.08999997</v>
      </c>
      <c r="G28" s="91">
        <f t="shared" si="5"/>
        <v>-465782457.08999997</v>
      </c>
    </row>
    <row r="29" spans="1:9" ht="18" customHeight="1" x14ac:dyDescent="0.25">
      <c r="A29" s="83">
        <v>325</v>
      </c>
      <c r="B29" s="84" t="s">
        <v>27</v>
      </c>
      <c r="C29" s="85">
        <f>C30+C32</f>
        <v>17400000000</v>
      </c>
      <c r="D29" s="85">
        <f>-D32</f>
        <v>0</v>
      </c>
      <c r="E29" s="85">
        <f>+C29+D29</f>
        <v>17400000000</v>
      </c>
      <c r="F29" s="85">
        <f>F30+F32</f>
        <v>17607467448.48</v>
      </c>
      <c r="G29" s="87">
        <f t="shared" si="5"/>
        <v>-207467448.47999954</v>
      </c>
    </row>
    <row r="30" spans="1:9" s="11" customFormat="1" ht="18" customHeight="1" x14ac:dyDescent="0.25">
      <c r="A30" s="83">
        <v>3252</v>
      </c>
      <c r="B30" s="84" t="s">
        <v>54</v>
      </c>
      <c r="C30" s="85">
        <f>+C31</f>
        <v>17400000000</v>
      </c>
      <c r="D30" s="85">
        <f>-D31</f>
        <v>0</v>
      </c>
      <c r="E30" s="85">
        <f>E31</f>
        <v>17400000000</v>
      </c>
      <c r="F30" s="85">
        <f>F31</f>
        <v>17278000000</v>
      </c>
      <c r="G30" s="87">
        <f t="shared" si="5"/>
        <v>122000000</v>
      </c>
    </row>
    <row r="31" spans="1:9" ht="18" customHeight="1" x14ac:dyDescent="0.25">
      <c r="A31" s="88">
        <v>32521</v>
      </c>
      <c r="B31" s="94" t="s">
        <v>54</v>
      </c>
      <c r="C31" s="90">
        <v>17400000000</v>
      </c>
      <c r="D31" s="90">
        <v>0</v>
      </c>
      <c r="E31" s="90">
        <f t="shared" si="2"/>
        <v>17400000000</v>
      </c>
      <c r="F31" s="90">
        <v>17278000000</v>
      </c>
      <c r="G31" s="91">
        <f t="shared" si="5"/>
        <v>122000000</v>
      </c>
    </row>
    <row r="32" spans="1:9" s="11" customFormat="1" ht="18" customHeight="1" x14ac:dyDescent="0.25">
      <c r="A32" s="83">
        <v>3255</v>
      </c>
      <c r="B32" s="84" t="s">
        <v>28</v>
      </c>
      <c r="C32" s="85">
        <f>+C33</f>
        <v>0</v>
      </c>
      <c r="D32" s="85">
        <f>-D33</f>
        <v>0</v>
      </c>
      <c r="E32" s="85">
        <f t="shared" si="2"/>
        <v>0</v>
      </c>
      <c r="F32" s="85">
        <f>F33</f>
        <v>329467448.48000002</v>
      </c>
      <c r="G32" s="87">
        <f t="shared" si="5"/>
        <v>-329467448.48000002</v>
      </c>
    </row>
    <row r="33" spans="1:9" s="11" customFormat="1" ht="18" customHeight="1" x14ac:dyDescent="0.25">
      <c r="A33" s="83">
        <v>32551</v>
      </c>
      <c r="B33" s="84" t="s">
        <v>29</v>
      </c>
      <c r="C33" s="85">
        <f>+C34+C35+C36</f>
        <v>0</v>
      </c>
      <c r="D33" s="85">
        <f>-D34-D35-D36</f>
        <v>0</v>
      </c>
      <c r="E33" s="85">
        <f>E34+E35+E36</f>
        <v>0</v>
      </c>
      <c r="F33" s="85">
        <f>F34+F35+F36</f>
        <v>329467448.48000002</v>
      </c>
      <c r="G33" s="87">
        <f t="shared" si="5"/>
        <v>-329467448.48000002</v>
      </c>
    </row>
    <row r="34" spans="1:9" ht="27.75" customHeight="1" x14ac:dyDescent="0.25">
      <c r="A34" s="4">
        <v>325511</v>
      </c>
      <c r="B34" s="57" t="s">
        <v>30</v>
      </c>
      <c r="C34" s="90">
        <v>0</v>
      </c>
      <c r="D34" s="90">
        <v>0</v>
      </c>
      <c r="E34" s="85">
        <f t="shared" si="2"/>
        <v>0</v>
      </c>
      <c r="F34" s="90">
        <v>238769608.69999999</v>
      </c>
      <c r="G34" s="91">
        <f t="shared" si="5"/>
        <v>-238769608.69999999</v>
      </c>
    </row>
    <row r="35" spans="1:9" ht="27" customHeight="1" x14ac:dyDescent="0.25">
      <c r="A35" s="4">
        <v>325513</v>
      </c>
      <c r="B35" s="57" t="s">
        <v>63</v>
      </c>
      <c r="C35" s="90">
        <v>0</v>
      </c>
      <c r="D35" s="90">
        <v>0</v>
      </c>
      <c r="E35" s="85">
        <f t="shared" si="2"/>
        <v>0</v>
      </c>
      <c r="F35" s="90">
        <v>7215972.7800000003</v>
      </c>
      <c r="G35" s="91">
        <f t="shared" ref="G35:G36" si="6"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90">
        <v>0</v>
      </c>
      <c r="D36" s="90">
        <v>0</v>
      </c>
      <c r="E36" s="85"/>
      <c r="F36" s="90">
        <v>83481867</v>
      </c>
      <c r="G36" s="91">
        <f t="shared" si="6"/>
        <v>-83481867</v>
      </c>
    </row>
    <row r="37" spans="1:9" s="11" customFormat="1" ht="18" customHeight="1" x14ac:dyDescent="0.25">
      <c r="A37" s="83">
        <v>4</v>
      </c>
      <c r="B37" s="84" t="s">
        <v>32</v>
      </c>
      <c r="C37" s="85">
        <f>+C38+C39+C40</f>
        <v>2225294901123</v>
      </c>
      <c r="D37" s="85">
        <f>D38+D39+D40</f>
        <v>-339000000000</v>
      </c>
      <c r="E37" s="85">
        <f>E38+E39+E40</f>
        <v>1886294901123</v>
      </c>
      <c r="F37" s="85">
        <f>F38+F39+F40</f>
        <v>500649602480.25</v>
      </c>
      <c r="G37" s="87">
        <f>G38+G39+G40</f>
        <v>1385645298642.75</v>
      </c>
    </row>
    <row r="38" spans="1:9" ht="18" customHeight="1" x14ac:dyDescent="0.25">
      <c r="A38" s="88">
        <v>41</v>
      </c>
      <c r="B38" s="94" t="s">
        <v>33</v>
      </c>
      <c r="C38" s="90">
        <v>1741080189</v>
      </c>
      <c r="D38" s="90">
        <v>0</v>
      </c>
      <c r="E38" s="90">
        <f t="shared" si="2"/>
        <v>1741080189</v>
      </c>
      <c r="F38" s="98">
        <v>1200000000</v>
      </c>
      <c r="G38" s="91">
        <f>E38-F38</f>
        <v>541080189</v>
      </c>
      <c r="H38" s="7"/>
      <c r="I38" s="7"/>
    </row>
    <row r="39" spans="1:9" ht="18" customHeight="1" x14ac:dyDescent="0.25">
      <c r="A39" s="88">
        <v>42</v>
      </c>
      <c r="B39" s="94" t="s">
        <v>34</v>
      </c>
      <c r="C39" s="90">
        <v>666693528550</v>
      </c>
      <c r="D39" s="90">
        <v>0</v>
      </c>
      <c r="E39" s="90">
        <f t="shared" si="2"/>
        <v>666693528550</v>
      </c>
      <c r="F39" s="99">
        <v>497313883000.75</v>
      </c>
      <c r="G39" s="91">
        <f>E39-F39</f>
        <v>169379645549.25</v>
      </c>
      <c r="H39" s="7"/>
      <c r="I39" s="7"/>
    </row>
    <row r="40" spans="1:9" ht="18" customHeight="1" x14ac:dyDescent="0.25">
      <c r="A40" s="88">
        <v>43</v>
      </c>
      <c r="B40" s="94" t="s">
        <v>35</v>
      </c>
      <c r="C40" s="100">
        <v>1556860292384</v>
      </c>
      <c r="D40" s="90">
        <f>-250000000000-69000000000-20000000000</f>
        <v>-339000000000</v>
      </c>
      <c r="E40" s="90">
        <f>C40+D40</f>
        <v>1217860292384</v>
      </c>
      <c r="F40" s="101">
        <v>2135719479.5</v>
      </c>
      <c r="G40" s="91">
        <f>E40-F40</f>
        <v>1215724572904.5</v>
      </c>
      <c r="H40" s="7"/>
      <c r="I40" s="7"/>
    </row>
    <row r="41" spans="1:9" s="11" customFormat="1" ht="18" customHeight="1" thickBot="1" x14ac:dyDescent="0.3">
      <c r="A41" s="165" t="s">
        <v>36</v>
      </c>
      <c r="B41" s="166"/>
      <c r="C41" s="102">
        <f>C7+C37</f>
        <v>2496240643789</v>
      </c>
      <c r="D41" s="102">
        <f>D7+D37</f>
        <v>-339000000000</v>
      </c>
      <c r="E41" s="102">
        <f>E7+E37</f>
        <v>2157240643789</v>
      </c>
      <c r="F41" s="102">
        <f>F7+F37</f>
        <v>673760700870.59998</v>
      </c>
      <c r="G41" s="103">
        <f>G7+G37</f>
        <v>1483479942918.3999</v>
      </c>
      <c r="H41" s="12"/>
      <c r="I41" s="13"/>
    </row>
    <row r="42" spans="1:9" ht="42" customHeight="1" x14ac:dyDescent="0.25">
      <c r="A42" s="153" t="s">
        <v>69</v>
      </c>
      <c r="B42" s="154"/>
      <c r="C42" s="154"/>
      <c r="D42" s="154"/>
      <c r="E42" s="154"/>
      <c r="F42" s="154"/>
      <c r="G42" s="155"/>
    </row>
    <row r="43" spans="1:9" ht="12" customHeight="1" x14ac:dyDescent="0.25">
      <c r="A43" s="38"/>
      <c r="B43" s="39"/>
      <c r="C43" s="39"/>
      <c r="D43" s="41"/>
      <c r="E43" s="41"/>
      <c r="F43" s="39"/>
      <c r="G43" s="4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0 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6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12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12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70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51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18" customHeight="1" x14ac:dyDescent="0.25">
      <c r="A7" s="83">
        <v>3</v>
      </c>
      <c r="B7" s="84" t="s">
        <v>12</v>
      </c>
      <c r="C7" s="85">
        <f>C8+C24</f>
        <v>270945742666</v>
      </c>
      <c r="D7" s="85">
        <f>D8+D24</f>
        <v>0</v>
      </c>
      <c r="E7" s="85">
        <f>E8+E24</f>
        <v>270945742666</v>
      </c>
      <c r="F7" s="85">
        <f>F8+F24</f>
        <v>189181286739.81</v>
      </c>
      <c r="G7" s="86">
        <f t="shared" ref="G7:G18" si="0">E7-F7</f>
        <v>81764455926.190002</v>
      </c>
    </row>
    <row r="8" spans="1:9" s="11" customFormat="1" ht="18" customHeight="1" x14ac:dyDescent="0.25">
      <c r="A8" s="83">
        <v>31</v>
      </c>
      <c r="B8" s="84" t="s">
        <v>13</v>
      </c>
      <c r="C8" s="85">
        <f>+C9</f>
        <v>247773703966</v>
      </c>
      <c r="D8" s="85">
        <f t="shared" ref="D8:F8" si="1">+D9</f>
        <v>0</v>
      </c>
      <c r="E8" s="85">
        <f t="shared" si="1"/>
        <v>247773703966</v>
      </c>
      <c r="F8" s="85">
        <f t="shared" si="1"/>
        <v>159794899368.13</v>
      </c>
      <c r="G8" s="87">
        <f t="shared" si="0"/>
        <v>87978804597.869995</v>
      </c>
    </row>
    <row r="9" spans="1:9" s="11" customFormat="1" ht="18" customHeight="1" x14ac:dyDescent="0.25">
      <c r="A9" s="83">
        <v>312</v>
      </c>
      <c r="B9" s="84" t="s">
        <v>14</v>
      </c>
      <c r="C9" s="85">
        <f>C10+C16</f>
        <v>247773703966</v>
      </c>
      <c r="D9" s="85">
        <f>D10+D16</f>
        <v>0</v>
      </c>
      <c r="E9" s="85">
        <f>E10+E16</f>
        <v>247773703966</v>
      </c>
      <c r="F9" s="85">
        <f>F10+F16</f>
        <v>159794899368.13</v>
      </c>
      <c r="G9" s="87">
        <f t="shared" si="0"/>
        <v>87978804597.869995</v>
      </c>
    </row>
    <row r="10" spans="1:9" s="11" customFormat="1" ht="18" customHeight="1" x14ac:dyDescent="0.25">
      <c r="A10" s="83">
        <v>3127</v>
      </c>
      <c r="B10" s="84" t="s">
        <v>15</v>
      </c>
      <c r="C10" s="85">
        <f>+C11+C14</f>
        <v>38827000000</v>
      </c>
      <c r="D10" s="85">
        <f>+D11+D14</f>
        <v>0</v>
      </c>
      <c r="E10" s="85">
        <f>+E11+E14</f>
        <v>38827000000</v>
      </c>
      <c r="F10" s="85">
        <f>+F11+F14</f>
        <v>8133134735.4400005</v>
      </c>
      <c r="G10" s="87">
        <f t="shared" si="0"/>
        <v>30693865264.559998</v>
      </c>
    </row>
    <row r="11" spans="1:9" s="11" customFormat="1" ht="18" customHeight="1" x14ac:dyDescent="0.25">
      <c r="A11" s="83">
        <v>31271</v>
      </c>
      <c r="B11" s="84" t="s">
        <v>16</v>
      </c>
      <c r="C11" s="85">
        <f>+C12+C13</f>
        <v>38827000000</v>
      </c>
      <c r="D11" s="85">
        <f>+D12+D13</f>
        <v>0</v>
      </c>
      <c r="E11" s="85">
        <f>+E12+E13</f>
        <v>38827000000</v>
      </c>
      <c r="F11" s="85">
        <f>+F12+F13</f>
        <v>8004331956.4400005</v>
      </c>
      <c r="G11" s="87">
        <f t="shared" si="0"/>
        <v>30822668043.559998</v>
      </c>
    </row>
    <row r="12" spans="1:9" s="11" customFormat="1" ht="14.25" customHeight="1" x14ac:dyDescent="0.25">
      <c r="A12" s="88">
        <v>312712</v>
      </c>
      <c r="B12" s="89" t="s">
        <v>56</v>
      </c>
      <c r="C12" s="90">
        <v>38046000000</v>
      </c>
      <c r="D12" s="85">
        <v>0</v>
      </c>
      <c r="E12" s="90">
        <f>+C12+D12</f>
        <v>38046000000</v>
      </c>
      <c r="F12" s="90">
        <v>7340281719</v>
      </c>
      <c r="G12" s="91">
        <f t="shared" si="0"/>
        <v>30705718281</v>
      </c>
      <c r="H12" s="12"/>
      <c r="I12" s="12"/>
    </row>
    <row r="13" spans="1:9" ht="14.25" customHeight="1" x14ac:dyDescent="0.25">
      <c r="A13" s="88">
        <v>312717</v>
      </c>
      <c r="B13" s="92" t="s">
        <v>17</v>
      </c>
      <c r="C13" s="90">
        <v>781000000</v>
      </c>
      <c r="D13" s="90">
        <v>0</v>
      </c>
      <c r="E13" s="90">
        <f>+C13+D13</f>
        <v>781000000</v>
      </c>
      <c r="F13" s="90">
        <f>553987977.44+110062260</f>
        <v>664050237.44000006</v>
      </c>
      <c r="G13" s="91">
        <f t="shared" si="0"/>
        <v>116949762.55999994</v>
      </c>
    </row>
    <row r="14" spans="1:9" ht="18" customHeight="1" x14ac:dyDescent="0.25">
      <c r="A14" s="88">
        <v>31272</v>
      </c>
      <c r="B14" s="93" t="s">
        <v>58</v>
      </c>
      <c r="C14" s="90">
        <f>+C15</f>
        <v>0</v>
      </c>
      <c r="D14" s="90">
        <f>-D15</f>
        <v>0</v>
      </c>
      <c r="E14" s="90">
        <f t="shared" ref="E14:E39" si="2">+C14+D14</f>
        <v>0</v>
      </c>
      <c r="F14" s="85">
        <f>F15</f>
        <v>128802779</v>
      </c>
      <c r="G14" s="91">
        <f t="shared" si="0"/>
        <v>-128802779</v>
      </c>
    </row>
    <row r="15" spans="1:9" ht="15" customHeight="1" x14ac:dyDescent="0.25">
      <c r="A15" s="88">
        <v>312721</v>
      </c>
      <c r="B15" s="92" t="s">
        <v>58</v>
      </c>
      <c r="C15" s="90">
        <v>0</v>
      </c>
      <c r="D15" s="90">
        <v>0</v>
      </c>
      <c r="E15" s="90">
        <f t="shared" si="2"/>
        <v>0</v>
      </c>
      <c r="F15" s="90">
        <f>125344034+3458745</f>
        <v>128802779</v>
      </c>
      <c r="G15" s="91">
        <f t="shared" si="0"/>
        <v>-128802779</v>
      </c>
    </row>
    <row r="16" spans="1:9" s="11" customFormat="1" ht="18" customHeight="1" x14ac:dyDescent="0.25">
      <c r="A16" s="83">
        <v>3128</v>
      </c>
      <c r="B16" s="84" t="s">
        <v>18</v>
      </c>
      <c r="C16" s="85">
        <f>+C17+C19</f>
        <v>208946703966</v>
      </c>
      <c r="D16" s="85">
        <f>+D17+D19</f>
        <v>0</v>
      </c>
      <c r="E16" s="85">
        <f>+E17+E19</f>
        <v>208946703966</v>
      </c>
      <c r="F16" s="85">
        <f>+F17+F19</f>
        <v>151661764632.69</v>
      </c>
      <c r="G16" s="87">
        <f t="shared" si="0"/>
        <v>57284939333.309998</v>
      </c>
    </row>
    <row r="17" spans="1:9" s="11" customFormat="1" ht="18" customHeight="1" x14ac:dyDescent="0.25">
      <c r="A17" s="83">
        <v>31281</v>
      </c>
      <c r="B17" s="84" t="s">
        <v>19</v>
      </c>
      <c r="C17" s="85">
        <f>+C18</f>
        <v>201941703966</v>
      </c>
      <c r="D17" s="85">
        <f>+D18</f>
        <v>0</v>
      </c>
      <c r="E17" s="85">
        <f>+E18</f>
        <v>201941703966</v>
      </c>
      <c r="F17" s="85">
        <f>+F18</f>
        <v>133309985799.37</v>
      </c>
      <c r="G17" s="87">
        <f t="shared" si="0"/>
        <v>68631718166.630005</v>
      </c>
      <c r="I17" s="12"/>
    </row>
    <row r="18" spans="1:9" ht="13.5" customHeight="1" x14ac:dyDescent="0.25">
      <c r="A18" s="88">
        <v>312811</v>
      </c>
      <c r="B18" s="94" t="s">
        <v>20</v>
      </c>
      <c r="C18" s="90">
        <v>201941703966</v>
      </c>
      <c r="D18" s="90"/>
      <c r="E18" s="90">
        <f t="shared" si="2"/>
        <v>201941703966</v>
      </c>
      <c r="F18" s="90">
        <f>117376162999.37+15933822800</f>
        <v>133309985799.37</v>
      </c>
      <c r="G18" s="91">
        <f t="shared" si="0"/>
        <v>68631718166.630005</v>
      </c>
      <c r="I18" s="7"/>
    </row>
    <row r="19" spans="1:9" s="11" customFormat="1" ht="18" customHeight="1" x14ac:dyDescent="0.25">
      <c r="A19" s="83">
        <v>31282</v>
      </c>
      <c r="B19" s="84" t="s">
        <v>21</v>
      </c>
      <c r="C19" s="85">
        <f>+C20+C21+C22+C23</f>
        <v>7005000000</v>
      </c>
      <c r="D19" s="85">
        <f>-D20-D21-D22-D23</f>
        <v>0</v>
      </c>
      <c r="E19" s="85">
        <f t="shared" si="2"/>
        <v>7005000000</v>
      </c>
      <c r="F19" s="95">
        <f>F20+F21+F22+F23</f>
        <v>18351778833.32</v>
      </c>
      <c r="G19" s="91">
        <f t="shared" ref="G19:G23" si="3">E19-F19</f>
        <v>-11346778833.32</v>
      </c>
    </row>
    <row r="20" spans="1:9" ht="15" customHeight="1" x14ac:dyDescent="0.25">
      <c r="A20" s="88">
        <v>312821</v>
      </c>
      <c r="B20" s="94" t="s">
        <v>22</v>
      </c>
      <c r="C20" s="90">
        <v>7000000000</v>
      </c>
      <c r="D20" s="90">
        <v>0</v>
      </c>
      <c r="E20" s="90">
        <f t="shared" si="2"/>
        <v>7000000000</v>
      </c>
      <c r="F20" s="90">
        <v>18265619693.139999</v>
      </c>
      <c r="G20" s="91">
        <f t="shared" si="3"/>
        <v>-11265619693.139999</v>
      </c>
    </row>
    <row r="21" spans="1:9" ht="15" customHeight="1" x14ac:dyDescent="0.25">
      <c r="A21" s="88">
        <v>312822</v>
      </c>
      <c r="B21" s="94" t="s">
        <v>23</v>
      </c>
      <c r="C21" s="90">
        <v>0</v>
      </c>
      <c r="D21" s="90">
        <v>0</v>
      </c>
      <c r="E21" s="85">
        <f t="shared" si="2"/>
        <v>0</v>
      </c>
      <c r="F21" s="90">
        <f>1567139+10957069.66</f>
        <v>12524208.66</v>
      </c>
      <c r="G21" s="91">
        <f t="shared" si="3"/>
        <v>-12524208.66</v>
      </c>
    </row>
    <row r="22" spans="1:9" ht="15" customHeight="1" x14ac:dyDescent="0.25">
      <c r="A22" s="88">
        <v>312823</v>
      </c>
      <c r="B22" s="94" t="s">
        <v>51</v>
      </c>
      <c r="C22" s="90">
        <v>0</v>
      </c>
      <c r="D22" s="90">
        <v>0</v>
      </c>
      <c r="E22" s="85">
        <f t="shared" si="2"/>
        <v>0</v>
      </c>
      <c r="F22" s="90">
        <v>66900000</v>
      </c>
      <c r="G22" s="91">
        <f t="shared" si="3"/>
        <v>-66900000</v>
      </c>
    </row>
    <row r="23" spans="1:9" ht="15" customHeight="1" x14ac:dyDescent="0.25">
      <c r="A23" s="88">
        <v>312827</v>
      </c>
      <c r="B23" s="94" t="s">
        <v>52</v>
      </c>
      <c r="C23" s="90">
        <v>5000000</v>
      </c>
      <c r="D23" s="90">
        <v>0</v>
      </c>
      <c r="E23" s="90">
        <f t="shared" si="2"/>
        <v>5000000</v>
      </c>
      <c r="F23" s="90">
        <f>5972716.52+762215</f>
        <v>6734931.5199999996</v>
      </c>
      <c r="G23" s="91">
        <f t="shared" si="3"/>
        <v>-1734931.5199999996</v>
      </c>
    </row>
    <row r="24" spans="1:9" s="11" customFormat="1" ht="18" customHeight="1" x14ac:dyDescent="0.25">
      <c r="A24" s="83">
        <v>32</v>
      </c>
      <c r="B24" s="84" t="s">
        <v>24</v>
      </c>
      <c r="C24" s="85">
        <f>C25+C30+C32</f>
        <v>23172038700</v>
      </c>
      <c r="D24" s="85">
        <f>-D25-D30</f>
        <v>0</v>
      </c>
      <c r="E24" s="85">
        <f>E25+E30+E32</f>
        <v>23172038700</v>
      </c>
      <c r="F24" s="85">
        <f>F25+F30+F32</f>
        <v>29386387371.68</v>
      </c>
      <c r="G24" s="87">
        <f t="shared" ref="G24:G32" si="4">+E24-F24</f>
        <v>-6214348671.6800003</v>
      </c>
      <c r="H24" s="12"/>
    </row>
    <row r="25" spans="1:9" s="11" customFormat="1" ht="18" customHeight="1" x14ac:dyDescent="0.25">
      <c r="A25" s="83">
        <v>3230</v>
      </c>
      <c r="B25" s="84" t="s">
        <v>25</v>
      </c>
      <c r="C25" s="96">
        <f>+C26+C27+C28</f>
        <v>5772038700</v>
      </c>
      <c r="D25" s="96">
        <f>-D26-D27-D28</f>
        <v>0</v>
      </c>
      <c r="E25" s="96">
        <f>E26+E27+E28</f>
        <v>5772038700</v>
      </c>
      <c r="F25" s="96">
        <f>F26+F27+F28</f>
        <v>11778919923.200001</v>
      </c>
      <c r="G25" s="97">
        <f t="shared" ref="G25:G31" si="5">E25-F25</f>
        <v>-6006881223.2000008</v>
      </c>
    </row>
    <row r="26" spans="1:9" ht="15.75" customHeight="1" x14ac:dyDescent="0.25">
      <c r="A26" s="88">
        <v>32303</v>
      </c>
      <c r="B26" s="94" t="s">
        <v>26</v>
      </c>
      <c r="C26" s="90">
        <v>40000000</v>
      </c>
      <c r="D26" s="90">
        <v>0</v>
      </c>
      <c r="E26" s="90">
        <f t="shared" si="2"/>
        <v>40000000</v>
      </c>
      <c r="F26" s="90">
        <f>25617011.7+2559266.09</f>
        <v>28176277.789999999</v>
      </c>
      <c r="G26" s="91">
        <f t="shared" si="5"/>
        <v>11823722.210000001</v>
      </c>
      <c r="H26" s="7"/>
    </row>
    <row r="27" spans="1:9" ht="15.75" customHeight="1" x14ac:dyDescent="0.25">
      <c r="A27" s="88">
        <v>32304</v>
      </c>
      <c r="B27" s="94" t="s">
        <v>55</v>
      </c>
      <c r="C27" s="90">
        <v>5732038700</v>
      </c>
      <c r="D27" s="90">
        <v>0</v>
      </c>
      <c r="E27" s="90">
        <f t="shared" si="2"/>
        <v>5732038700</v>
      </c>
      <c r="F27" s="90">
        <f>11276395194.61+8565993.71</f>
        <v>11284961188.32</v>
      </c>
      <c r="G27" s="91">
        <f t="shared" si="5"/>
        <v>-5552922488.3199997</v>
      </c>
    </row>
    <row r="28" spans="1:9" ht="15.75" customHeight="1" x14ac:dyDescent="0.25">
      <c r="A28" s="88">
        <v>32307</v>
      </c>
      <c r="B28" s="94" t="s">
        <v>53</v>
      </c>
      <c r="C28" s="90">
        <v>0</v>
      </c>
      <c r="D28" s="90">
        <v>0</v>
      </c>
      <c r="E28" s="85">
        <f t="shared" si="2"/>
        <v>0</v>
      </c>
      <c r="F28" s="90">
        <v>465782457.08999997</v>
      </c>
      <c r="G28" s="91">
        <f t="shared" si="5"/>
        <v>-465782457.08999997</v>
      </c>
    </row>
    <row r="29" spans="1:9" ht="15.75" customHeight="1" x14ac:dyDescent="0.25">
      <c r="A29" s="83">
        <v>325</v>
      </c>
      <c r="B29" s="84" t="s">
        <v>27</v>
      </c>
      <c r="C29" s="85">
        <f>C30+C32</f>
        <v>17400000000</v>
      </c>
      <c r="D29" s="85">
        <f t="shared" ref="D29:F29" si="6">D30+D32</f>
        <v>0</v>
      </c>
      <c r="E29" s="85">
        <f t="shared" si="6"/>
        <v>17400000000</v>
      </c>
      <c r="F29" s="85">
        <f t="shared" si="6"/>
        <v>17607467448.48</v>
      </c>
      <c r="G29" s="87">
        <f t="shared" si="5"/>
        <v>-207467448.47999954</v>
      </c>
    </row>
    <row r="30" spans="1:9" s="11" customFormat="1" ht="18" customHeight="1" x14ac:dyDescent="0.25">
      <c r="A30" s="83">
        <v>3252</v>
      </c>
      <c r="B30" s="84" t="s">
        <v>54</v>
      </c>
      <c r="C30" s="85">
        <f>+C31</f>
        <v>17400000000</v>
      </c>
      <c r="D30" s="85">
        <f>-D31</f>
        <v>0</v>
      </c>
      <c r="E30" s="85">
        <f t="shared" si="2"/>
        <v>17400000000</v>
      </c>
      <c r="F30" s="85">
        <f>F31</f>
        <v>17278000000</v>
      </c>
      <c r="G30" s="91">
        <f t="shared" si="5"/>
        <v>122000000</v>
      </c>
    </row>
    <row r="31" spans="1:9" ht="14.25" customHeight="1" x14ac:dyDescent="0.25">
      <c r="A31" s="88">
        <v>32521</v>
      </c>
      <c r="B31" s="94" t="s">
        <v>54</v>
      </c>
      <c r="C31" s="90">
        <v>17400000000</v>
      </c>
      <c r="D31" s="90">
        <v>0</v>
      </c>
      <c r="E31" s="90">
        <f t="shared" si="2"/>
        <v>17400000000</v>
      </c>
      <c r="F31" s="90">
        <v>17278000000</v>
      </c>
      <c r="G31" s="91">
        <f t="shared" si="5"/>
        <v>122000000</v>
      </c>
    </row>
    <row r="32" spans="1:9" s="11" customFormat="1" ht="18" customHeight="1" x14ac:dyDescent="0.25">
      <c r="A32" s="83">
        <v>3255</v>
      </c>
      <c r="B32" s="84" t="s">
        <v>28</v>
      </c>
      <c r="C32" s="85">
        <f>+C33</f>
        <v>0</v>
      </c>
      <c r="D32" s="85">
        <f>-D33</f>
        <v>0</v>
      </c>
      <c r="E32" s="85">
        <f t="shared" si="2"/>
        <v>0</v>
      </c>
      <c r="F32" s="85">
        <f>F33</f>
        <v>329467448.48000002</v>
      </c>
      <c r="G32" s="87">
        <f t="shared" si="4"/>
        <v>-329467448.48000002</v>
      </c>
    </row>
    <row r="33" spans="1:9" s="11" customFormat="1" ht="18" customHeight="1" x14ac:dyDescent="0.25">
      <c r="A33" s="83">
        <v>32551</v>
      </c>
      <c r="B33" s="84" t="s">
        <v>29</v>
      </c>
      <c r="C33" s="85">
        <f>+C34+C35+C36</f>
        <v>0</v>
      </c>
      <c r="D33" s="85">
        <f>-D34-D35-D36</f>
        <v>0</v>
      </c>
      <c r="E33" s="85">
        <f t="shared" si="2"/>
        <v>0</v>
      </c>
      <c r="F33" s="85">
        <f>F34+F35+F36</f>
        <v>329467448.48000002</v>
      </c>
      <c r="G33" s="87">
        <f>E33-F33</f>
        <v>-329467448.48000002</v>
      </c>
    </row>
    <row r="34" spans="1:9" ht="26.25" customHeight="1" x14ac:dyDescent="0.25">
      <c r="A34" s="4">
        <v>325511</v>
      </c>
      <c r="B34" s="57" t="s">
        <v>30</v>
      </c>
      <c r="C34" s="90">
        <v>0</v>
      </c>
      <c r="D34" s="90">
        <v>0</v>
      </c>
      <c r="E34" s="85">
        <f t="shared" si="2"/>
        <v>0</v>
      </c>
      <c r="F34" s="90">
        <v>238769608.69999999</v>
      </c>
      <c r="G34" s="91">
        <f>E34-F34</f>
        <v>-238769608.69999999</v>
      </c>
    </row>
    <row r="35" spans="1:9" ht="30" customHeight="1" x14ac:dyDescent="0.25">
      <c r="A35" s="4">
        <v>325513</v>
      </c>
      <c r="B35" s="57" t="s">
        <v>63</v>
      </c>
      <c r="C35" s="90">
        <v>0</v>
      </c>
      <c r="D35" s="90">
        <v>0</v>
      </c>
      <c r="E35" s="85">
        <f t="shared" si="2"/>
        <v>0</v>
      </c>
      <c r="F35" s="90">
        <v>7215972.7800000003</v>
      </c>
      <c r="G35" s="91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90">
        <v>0</v>
      </c>
      <c r="D36" s="90">
        <v>0</v>
      </c>
      <c r="E36" s="85"/>
      <c r="F36" s="90">
        <v>83481867</v>
      </c>
      <c r="G36" s="91">
        <f>E36-F36</f>
        <v>-83481867</v>
      </c>
    </row>
    <row r="37" spans="1:9" s="11" customFormat="1" ht="18" customHeight="1" x14ac:dyDescent="0.25">
      <c r="A37" s="83">
        <v>4</v>
      </c>
      <c r="B37" s="84" t="s">
        <v>32</v>
      </c>
      <c r="C37" s="85">
        <f>+C38+C39+C40</f>
        <v>2225294901123</v>
      </c>
      <c r="D37" s="85">
        <f>D38+D39+D40</f>
        <v>-339000000000</v>
      </c>
      <c r="E37" s="85">
        <f>E38+E39+E40</f>
        <v>1886294901123</v>
      </c>
      <c r="F37" s="85">
        <f>F38+F39+F40</f>
        <v>501255629812.66998</v>
      </c>
      <c r="G37" s="87">
        <f t="shared" ref="G37:G40" si="7">E37-F37</f>
        <v>1385039271310.3301</v>
      </c>
      <c r="H37" s="12"/>
    </row>
    <row r="38" spans="1:9" ht="18" customHeight="1" x14ac:dyDescent="0.25">
      <c r="A38" s="88">
        <v>41</v>
      </c>
      <c r="B38" s="94" t="s">
        <v>33</v>
      </c>
      <c r="C38" s="90">
        <v>1741080189</v>
      </c>
      <c r="D38" s="90">
        <v>0</v>
      </c>
      <c r="E38" s="90">
        <f t="shared" si="2"/>
        <v>1741080189</v>
      </c>
      <c r="F38" s="98">
        <v>1200000000</v>
      </c>
      <c r="G38" s="91">
        <f t="shared" si="7"/>
        <v>541080189</v>
      </c>
      <c r="H38" s="7"/>
      <c r="I38" s="105"/>
    </row>
    <row r="39" spans="1:9" ht="18" customHeight="1" x14ac:dyDescent="0.25">
      <c r="A39" s="88">
        <v>42</v>
      </c>
      <c r="B39" s="94" t="s">
        <v>34</v>
      </c>
      <c r="C39" s="90">
        <v>666693528550</v>
      </c>
      <c r="D39" s="90">
        <v>0</v>
      </c>
      <c r="E39" s="90">
        <f t="shared" si="2"/>
        <v>666693528550</v>
      </c>
      <c r="F39" s="99">
        <v>497313883000.75</v>
      </c>
      <c r="G39" s="91">
        <f t="shared" si="7"/>
        <v>169379645549.25</v>
      </c>
      <c r="H39" s="7"/>
      <c r="I39" s="104"/>
    </row>
    <row r="40" spans="1:9" ht="18" customHeight="1" x14ac:dyDescent="0.25">
      <c r="A40" s="88">
        <v>43</v>
      </c>
      <c r="B40" s="94" t="s">
        <v>35</v>
      </c>
      <c r="C40" s="100">
        <v>1556860292384</v>
      </c>
      <c r="D40" s="90">
        <f>-250000000000-69000000000-20000000000</f>
        <v>-339000000000</v>
      </c>
      <c r="E40" s="90">
        <f>C40+D40</f>
        <v>1217860292384</v>
      </c>
      <c r="F40" s="101">
        <f>2135719479.5+606027332.42</f>
        <v>2741746811.9200001</v>
      </c>
      <c r="G40" s="91">
        <f t="shared" si="7"/>
        <v>1215118545572.0801</v>
      </c>
      <c r="H40" s="7"/>
      <c r="I40" s="104"/>
    </row>
    <row r="41" spans="1:9" s="11" customFormat="1" ht="18" customHeight="1" thickBot="1" x14ac:dyDescent="0.3">
      <c r="A41" s="165" t="s">
        <v>36</v>
      </c>
      <c r="B41" s="166"/>
      <c r="C41" s="102">
        <f>C7+C37</f>
        <v>2496240643789</v>
      </c>
      <c r="D41" s="102">
        <f>D7+D37</f>
        <v>-339000000000</v>
      </c>
      <c r="E41" s="102">
        <f>E7+E37</f>
        <v>2157240643789</v>
      </c>
      <c r="F41" s="102">
        <f>F7+F37</f>
        <v>690436916552.47998</v>
      </c>
      <c r="G41" s="103">
        <f>E41-F41</f>
        <v>1466803727236.52</v>
      </c>
      <c r="H41" s="12"/>
      <c r="I41" s="104"/>
    </row>
    <row r="42" spans="1:9" ht="42" customHeight="1" x14ac:dyDescent="0.25">
      <c r="A42" s="153" t="s">
        <v>69</v>
      </c>
      <c r="B42" s="154"/>
      <c r="C42" s="154"/>
      <c r="D42" s="154"/>
      <c r="E42" s="154"/>
      <c r="F42" s="154"/>
      <c r="G42" s="155"/>
      <c r="I42" s="104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04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  <c r="I44" s="10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  <c r="I45" s="104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  <c r="I46" s="104"/>
    </row>
    <row r="47" spans="1:9" ht="16.5" customHeight="1" x14ac:dyDescent="0.25">
      <c r="A47" s="16"/>
      <c r="G47" s="19"/>
      <c r="I47" s="106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  <c r="I48" s="104"/>
    </row>
    <row r="49" spans="1:9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  <c r="I49" s="104"/>
    </row>
    <row r="50" spans="1:9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  <c r="I50" s="104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07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6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5.7109375" style="15" customWidth="1"/>
    <col min="4" max="4" width="23" style="15" customWidth="1"/>
    <col min="5" max="5" width="30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12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12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71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51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18" customHeight="1" x14ac:dyDescent="0.25">
      <c r="A7" s="83">
        <v>3</v>
      </c>
      <c r="B7" s="84" t="s">
        <v>12</v>
      </c>
      <c r="C7" s="85">
        <f>C8+C24</f>
        <v>270945742666</v>
      </c>
      <c r="D7" s="85">
        <f>D8+D24</f>
        <v>0</v>
      </c>
      <c r="E7" s="85">
        <f>E8+E24</f>
        <v>270945742666</v>
      </c>
      <c r="F7" s="85">
        <f>F8+F24</f>
        <v>203444537018.37</v>
      </c>
      <c r="G7" s="86">
        <f t="shared" ref="G7:G17" si="0">E7-F7</f>
        <v>67501205647.630005</v>
      </c>
    </row>
    <row r="8" spans="1:9" s="11" customFormat="1" ht="18" customHeight="1" x14ac:dyDescent="0.25">
      <c r="A8" s="83">
        <v>31</v>
      </c>
      <c r="B8" s="84" t="s">
        <v>13</v>
      </c>
      <c r="C8" s="85">
        <f>+C9</f>
        <v>247773703966</v>
      </c>
      <c r="D8" s="85">
        <f t="shared" ref="D8:F8" si="1">+D9</f>
        <v>0</v>
      </c>
      <c r="E8" s="85">
        <f t="shared" si="1"/>
        <v>247773703966</v>
      </c>
      <c r="F8" s="85">
        <f t="shared" si="1"/>
        <v>173950175312.13</v>
      </c>
      <c r="G8" s="87">
        <f t="shared" si="0"/>
        <v>73823528653.869995</v>
      </c>
    </row>
    <row r="9" spans="1:9" s="11" customFormat="1" ht="18" customHeight="1" x14ac:dyDescent="0.25">
      <c r="A9" s="83">
        <v>312</v>
      </c>
      <c r="B9" s="84" t="s">
        <v>14</v>
      </c>
      <c r="C9" s="85">
        <f>C10+C16</f>
        <v>247773703966</v>
      </c>
      <c r="D9" s="85">
        <f>D10+D16</f>
        <v>0</v>
      </c>
      <c r="E9" s="85">
        <f>E10+E16</f>
        <v>247773703966</v>
      </c>
      <c r="F9" s="85">
        <f>F10+F16</f>
        <v>173950175312.13</v>
      </c>
      <c r="G9" s="87">
        <f t="shared" si="0"/>
        <v>73823528653.869995</v>
      </c>
    </row>
    <row r="10" spans="1:9" s="11" customFormat="1" ht="18" customHeight="1" x14ac:dyDescent="0.25">
      <c r="A10" s="83">
        <v>3127</v>
      </c>
      <c r="B10" s="84" t="s">
        <v>15</v>
      </c>
      <c r="C10" s="85">
        <f>+C11+C14</f>
        <v>38827000000</v>
      </c>
      <c r="D10" s="85">
        <f>+D11+D14</f>
        <v>0</v>
      </c>
      <c r="E10" s="85">
        <f>+E11+E14</f>
        <v>38827000000</v>
      </c>
      <c r="F10" s="85">
        <f>+F11+F14</f>
        <v>8225468710.4400005</v>
      </c>
      <c r="G10" s="87">
        <f t="shared" si="0"/>
        <v>30601531289.559998</v>
      </c>
    </row>
    <row r="11" spans="1:9" s="11" customFormat="1" ht="18" customHeight="1" x14ac:dyDescent="0.25">
      <c r="A11" s="83">
        <v>31271</v>
      </c>
      <c r="B11" s="84" t="s">
        <v>16</v>
      </c>
      <c r="C11" s="85">
        <f>+C12+C13</f>
        <v>38827000000</v>
      </c>
      <c r="D11" s="85">
        <f>+D12+D13</f>
        <v>0</v>
      </c>
      <c r="E11" s="85">
        <f>+E12+E13</f>
        <v>38827000000</v>
      </c>
      <c r="F11" s="85">
        <f>+F12+F13</f>
        <v>8093207186.4400005</v>
      </c>
      <c r="G11" s="87">
        <f t="shared" si="0"/>
        <v>30733792813.559998</v>
      </c>
    </row>
    <row r="12" spans="1:9" s="11" customFormat="1" ht="14.25" customHeight="1" x14ac:dyDescent="0.25">
      <c r="A12" s="88">
        <v>312712</v>
      </c>
      <c r="B12" s="89" t="s">
        <v>56</v>
      </c>
      <c r="C12" s="90">
        <v>38046000000</v>
      </c>
      <c r="D12" s="85">
        <v>0</v>
      </c>
      <c r="E12" s="90">
        <f>+C12+D12</f>
        <v>38046000000</v>
      </c>
      <c r="F12" s="90">
        <v>7340281719</v>
      </c>
      <c r="G12" s="91">
        <f t="shared" si="0"/>
        <v>30705718281</v>
      </c>
      <c r="H12" s="12"/>
      <c r="I12" s="12"/>
    </row>
    <row r="13" spans="1:9" ht="14.25" customHeight="1" x14ac:dyDescent="0.25">
      <c r="A13" s="88">
        <v>312717</v>
      </c>
      <c r="B13" s="92" t="s">
        <v>17</v>
      </c>
      <c r="C13" s="90">
        <v>781000000</v>
      </c>
      <c r="D13" s="90">
        <v>0</v>
      </c>
      <c r="E13" s="90">
        <f>+C13+D13</f>
        <v>781000000</v>
      </c>
      <c r="F13" s="90">
        <f>553987977.44+110062260+88875230</f>
        <v>752925467.44000006</v>
      </c>
      <c r="G13" s="91">
        <f t="shared" si="0"/>
        <v>28074532.559999943</v>
      </c>
    </row>
    <row r="14" spans="1:9" ht="18" customHeight="1" x14ac:dyDescent="0.25">
      <c r="A14" s="88">
        <v>31272</v>
      </c>
      <c r="B14" s="93" t="s">
        <v>58</v>
      </c>
      <c r="C14" s="90">
        <f>+C15</f>
        <v>0</v>
      </c>
      <c r="D14" s="90">
        <f>-D15</f>
        <v>0</v>
      </c>
      <c r="E14" s="90">
        <f t="shared" ref="E14:E39" si="2">+C14+D14</f>
        <v>0</v>
      </c>
      <c r="F14" s="85">
        <f>F15</f>
        <v>132261524</v>
      </c>
      <c r="G14" s="91">
        <f t="shared" si="0"/>
        <v>-132261524</v>
      </c>
    </row>
    <row r="15" spans="1:9" ht="15" customHeight="1" x14ac:dyDescent="0.25">
      <c r="A15" s="88">
        <v>312721</v>
      </c>
      <c r="B15" s="92" t="s">
        <v>58</v>
      </c>
      <c r="C15" s="90">
        <v>0</v>
      </c>
      <c r="D15" s="90">
        <v>0</v>
      </c>
      <c r="E15" s="90">
        <f t="shared" si="2"/>
        <v>0</v>
      </c>
      <c r="F15" s="90">
        <f>125344034+3458745+3458745</f>
        <v>132261524</v>
      </c>
      <c r="G15" s="91">
        <f t="shared" si="0"/>
        <v>-132261524</v>
      </c>
    </row>
    <row r="16" spans="1:9" s="11" customFormat="1" ht="18" customHeight="1" x14ac:dyDescent="0.25">
      <c r="A16" s="83">
        <v>3128</v>
      </c>
      <c r="B16" s="84" t="s">
        <v>18</v>
      </c>
      <c r="C16" s="85">
        <f>+C17+C19</f>
        <v>208946703966</v>
      </c>
      <c r="D16" s="85">
        <f>+D17+D19</f>
        <v>0</v>
      </c>
      <c r="E16" s="85">
        <f>+E17+E19</f>
        <v>208946703966</v>
      </c>
      <c r="F16" s="85">
        <f>+F17+F19</f>
        <v>165724706601.69</v>
      </c>
      <c r="G16" s="87">
        <f t="shared" si="0"/>
        <v>43221997364.309998</v>
      </c>
    </row>
    <row r="17" spans="1:9" s="11" customFormat="1" ht="18" customHeight="1" x14ac:dyDescent="0.25">
      <c r="A17" s="83">
        <v>31281</v>
      </c>
      <c r="B17" s="84" t="s">
        <v>19</v>
      </c>
      <c r="C17" s="85">
        <f>+C18</f>
        <v>201941703966</v>
      </c>
      <c r="D17" s="85">
        <f>+D18</f>
        <v>0</v>
      </c>
      <c r="E17" s="85">
        <f>+E18</f>
        <v>201941703966</v>
      </c>
      <c r="F17" s="85">
        <f>+F18</f>
        <v>147371534068.37</v>
      </c>
      <c r="G17" s="87">
        <f t="shared" si="0"/>
        <v>54570169897.630005</v>
      </c>
      <c r="I17" s="12"/>
    </row>
    <row r="18" spans="1:9" ht="13.5" customHeight="1" x14ac:dyDescent="0.25">
      <c r="A18" s="88">
        <v>312811</v>
      </c>
      <c r="B18" s="94" t="s">
        <v>20</v>
      </c>
      <c r="C18" s="90">
        <v>201941703966</v>
      </c>
      <c r="D18" s="90"/>
      <c r="E18" s="90">
        <f t="shared" si="2"/>
        <v>201941703966</v>
      </c>
      <c r="F18" s="90">
        <f>117376162999.37+15933822800+14061548269</f>
        <v>147371534068.37</v>
      </c>
      <c r="G18" s="91">
        <f t="shared" ref="G18:G23" si="3">E18-F18</f>
        <v>54570169897.630005</v>
      </c>
      <c r="I18" s="7"/>
    </row>
    <row r="19" spans="1:9" s="11" customFormat="1" ht="18" customHeight="1" x14ac:dyDescent="0.25">
      <c r="A19" s="83">
        <v>31282</v>
      </c>
      <c r="B19" s="84" t="s">
        <v>21</v>
      </c>
      <c r="C19" s="85">
        <f>+C20+C21+C22+C23</f>
        <v>7005000000</v>
      </c>
      <c r="D19" s="85">
        <f>-D20-D21-D22-D23</f>
        <v>0</v>
      </c>
      <c r="E19" s="85">
        <f t="shared" si="2"/>
        <v>7005000000</v>
      </c>
      <c r="F19" s="95">
        <f>F20+F21+F22+F23</f>
        <v>18353172533.32</v>
      </c>
      <c r="G19" s="91">
        <f t="shared" si="3"/>
        <v>-11348172533.32</v>
      </c>
    </row>
    <row r="20" spans="1:9" ht="15" customHeight="1" x14ac:dyDescent="0.25">
      <c r="A20" s="88">
        <v>312821</v>
      </c>
      <c r="B20" s="94" t="s">
        <v>22</v>
      </c>
      <c r="C20" s="90">
        <v>7000000000</v>
      </c>
      <c r="D20" s="90">
        <v>0</v>
      </c>
      <c r="E20" s="90">
        <f t="shared" si="2"/>
        <v>7000000000</v>
      </c>
      <c r="F20" s="90">
        <v>18265619693.139999</v>
      </c>
      <c r="G20" s="91">
        <f t="shared" si="3"/>
        <v>-11265619693.139999</v>
      </c>
    </row>
    <row r="21" spans="1:9" ht="15" customHeight="1" x14ac:dyDescent="0.25">
      <c r="A21" s="88">
        <v>312822</v>
      </c>
      <c r="B21" s="94" t="s">
        <v>23</v>
      </c>
      <c r="C21" s="90">
        <v>0</v>
      </c>
      <c r="D21" s="90">
        <v>0</v>
      </c>
      <c r="E21" s="85">
        <f t="shared" si="2"/>
        <v>0</v>
      </c>
      <c r="F21" s="90">
        <f>1567139+10957069.66</f>
        <v>12524208.66</v>
      </c>
      <c r="G21" s="91">
        <f t="shared" si="3"/>
        <v>-12524208.66</v>
      </c>
    </row>
    <row r="22" spans="1:9" ht="15" customHeight="1" x14ac:dyDescent="0.25">
      <c r="A22" s="88">
        <v>312823</v>
      </c>
      <c r="B22" s="94" t="s">
        <v>51</v>
      </c>
      <c r="C22" s="90">
        <v>0</v>
      </c>
      <c r="D22" s="90">
        <v>0</v>
      </c>
      <c r="E22" s="85">
        <f t="shared" si="2"/>
        <v>0</v>
      </c>
      <c r="F22" s="90">
        <v>66900000</v>
      </c>
      <c r="G22" s="91">
        <f t="shared" si="3"/>
        <v>-66900000</v>
      </c>
    </row>
    <row r="23" spans="1:9" ht="15" customHeight="1" x14ac:dyDescent="0.25">
      <c r="A23" s="88">
        <v>312827</v>
      </c>
      <c r="B23" s="94" t="s">
        <v>52</v>
      </c>
      <c r="C23" s="90">
        <v>5000000</v>
      </c>
      <c r="D23" s="90">
        <v>0</v>
      </c>
      <c r="E23" s="90">
        <f t="shared" si="2"/>
        <v>5000000</v>
      </c>
      <c r="F23" s="90">
        <f>5972716.52+762215+1393700</f>
        <v>8128631.5199999996</v>
      </c>
      <c r="G23" s="91">
        <f t="shared" si="3"/>
        <v>-3128631.5199999996</v>
      </c>
    </row>
    <row r="24" spans="1:9" s="11" customFormat="1" ht="18" customHeight="1" x14ac:dyDescent="0.25">
      <c r="A24" s="83">
        <v>32</v>
      </c>
      <c r="B24" s="84" t="s">
        <v>24</v>
      </c>
      <c r="C24" s="85">
        <f>C25+C30+C32</f>
        <v>23172038700</v>
      </c>
      <c r="D24" s="85">
        <f>-D25-D30</f>
        <v>0</v>
      </c>
      <c r="E24" s="85">
        <f>E25+E30+E32</f>
        <v>23172038700</v>
      </c>
      <c r="F24" s="85">
        <f>F25+F30+F32</f>
        <v>29494361706.240002</v>
      </c>
      <c r="G24" s="87">
        <f t="shared" ref="G24:G32" si="4">+E24-F24</f>
        <v>-6322323006.2400017</v>
      </c>
      <c r="H24" s="12"/>
    </row>
    <row r="25" spans="1:9" s="11" customFormat="1" ht="18" customHeight="1" x14ac:dyDescent="0.25">
      <c r="A25" s="83">
        <v>3230</v>
      </c>
      <c r="B25" s="84" t="s">
        <v>25</v>
      </c>
      <c r="C25" s="96">
        <f>+C26+C27+C28</f>
        <v>5772038700</v>
      </c>
      <c r="D25" s="96">
        <f>-D26-D27-D28</f>
        <v>0</v>
      </c>
      <c r="E25" s="96">
        <f>E26+E27+E28</f>
        <v>5772038700</v>
      </c>
      <c r="F25" s="96">
        <f>F26+F27+F28</f>
        <v>11886894257.76</v>
      </c>
      <c r="G25" s="97">
        <f t="shared" ref="G25:G31" si="5">E25-F25</f>
        <v>-6114855557.7600002</v>
      </c>
    </row>
    <row r="26" spans="1:9" ht="15.75" customHeight="1" x14ac:dyDescent="0.25">
      <c r="A26" s="88">
        <v>32303</v>
      </c>
      <c r="B26" s="94" t="s">
        <v>26</v>
      </c>
      <c r="C26" s="90">
        <v>40000000</v>
      </c>
      <c r="D26" s="90">
        <v>0</v>
      </c>
      <c r="E26" s="90">
        <f t="shared" si="2"/>
        <v>40000000</v>
      </c>
      <c r="F26" s="90">
        <f>25617011.7+2559266.09+2356465.15</f>
        <v>30532742.939999998</v>
      </c>
      <c r="G26" s="91">
        <f t="shared" si="5"/>
        <v>9467257.0600000024</v>
      </c>
      <c r="H26" s="7"/>
    </row>
    <row r="27" spans="1:9" ht="15.75" customHeight="1" x14ac:dyDescent="0.25">
      <c r="A27" s="88">
        <v>32304</v>
      </c>
      <c r="B27" s="94" t="s">
        <v>55</v>
      </c>
      <c r="C27" s="90">
        <v>5732038700</v>
      </c>
      <c r="D27" s="90">
        <v>0</v>
      </c>
      <c r="E27" s="90">
        <f t="shared" si="2"/>
        <v>5732038700</v>
      </c>
      <c r="F27" s="90">
        <f>11276395194.61+8565993.71+105617869.41</f>
        <v>11390579057.73</v>
      </c>
      <c r="G27" s="91">
        <f t="shared" si="5"/>
        <v>-5658540357.7299995</v>
      </c>
    </row>
    <row r="28" spans="1:9" ht="15.75" customHeight="1" x14ac:dyDescent="0.25">
      <c r="A28" s="88">
        <v>32307</v>
      </c>
      <c r="B28" s="94" t="s">
        <v>53</v>
      </c>
      <c r="C28" s="90">
        <v>0</v>
      </c>
      <c r="D28" s="90">
        <v>0</v>
      </c>
      <c r="E28" s="85">
        <f t="shared" si="2"/>
        <v>0</v>
      </c>
      <c r="F28" s="90">
        <v>465782457.08999997</v>
      </c>
      <c r="G28" s="91">
        <f t="shared" si="5"/>
        <v>-465782457.08999997</v>
      </c>
    </row>
    <row r="29" spans="1:9" ht="15.75" customHeight="1" x14ac:dyDescent="0.25">
      <c r="A29" s="83">
        <v>325</v>
      </c>
      <c r="B29" s="84" t="s">
        <v>27</v>
      </c>
      <c r="C29" s="85">
        <f>C30+C32</f>
        <v>17400000000</v>
      </c>
      <c r="D29" s="85">
        <f t="shared" ref="D29:F29" si="6">D30+D32</f>
        <v>0</v>
      </c>
      <c r="E29" s="85">
        <f t="shared" si="6"/>
        <v>17400000000</v>
      </c>
      <c r="F29" s="85">
        <f t="shared" si="6"/>
        <v>17607467448.48</v>
      </c>
      <c r="G29" s="85">
        <f t="shared" si="5"/>
        <v>-207467448.47999954</v>
      </c>
    </row>
    <row r="30" spans="1:9" s="11" customFormat="1" ht="18" customHeight="1" x14ac:dyDescent="0.25">
      <c r="A30" s="83">
        <v>3252</v>
      </c>
      <c r="B30" s="84" t="s">
        <v>54</v>
      </c>
      <c r="C30" s="85">
        <f>+C31</f>
        <v>17400000000</v>
      </c>
      <c r="D30" s="85">
        <f>-D31</f>
        <v>0</v>
      </c>
      <c r="E30" s="85">
        <f t="shared" si="2"/>
        <v>17400000000</v>
      </c>
      <c r="F30" s="85">
        <f>F31</f>
        <v>17278000000</v>
      </c>
      <c r="G30" s="91">
        <f t="shared" si="5"/>
        <v>122000000</v>
      </c>
    </row>
    <row r="31" spans="1:9" ht="16.5" customHeight="1" x14ac:dyDescent="0.25">
      <c r="A31" s="88">
        <v>32521</v>
      </c>
      <c r="B31" s="94" t="s">
        <v>54</v>
      </c>
      <c r="C31" s="90">
        <v>17400000000</v>
      </c>
      <c r="D31" s="90">
        <v>0</v>
      </c>
      <c r="E31" s="90">
        <f t="shared" si="2"/>
        <v>17400000000</v>
      </c>
      <c r="F31" s="90">
        <v>17278000000</v>
      </c>
      <c r="G31" s="91">
        <f t="shared" si="5"/>
        <v>122000000</v>
      </c>
    </row>
    <row r="32" spans="1:9" s="11" customFormat="1" ht="18" customHeight="1" x14ac:dyDescent="0.25">
      <c r="A32" s="83">
        <v>3255</v>
      </c>
      <c r="B32" s="84" t="s">
        <v>28</v>
      </c>
      <c r="C32" s="85">
        <f>+C33</f>
        <v>0</v>
      </c>
      <c r="D32" s="85">
        <f>-D33</f>
        <v>0</v>
      </c>
      <c r="E32" s="85">
        <f t="shared" si="2"/>
        <v>0</v>
      </c>
      <c r="F32" s="85">
        <f>F33</f>
        <v>329467448.48000002</v>
      </c>
      <c r="G32" s="87">
        <f t="shared" si="4"/>
        <v>-329467448.48000002</v>
      </c>
    </row>
    <row r="33" spans="1:9" s="11" customFormat="1" ht="18" customHeight="1" x14ac:dyDescent="0.25">
      <c r="A33" s="83">
        <v>32551</v>
      </c>
      <c r="B33" s="84" t="s">
        <v>29</v>
      </c>
      <c r="C33" s="85">
        <f>+C34+C35+C36</f>
        <v>0</v>
      </c>
      <c r="D33" s="85">
        <f>-D34-D35-D36</f>
        <v>0</v>
      </c>
      <c r="E33" s="85">
        <f t="shared" si="2"/>
        <v>0</v>
      </c>
      <c r="F33" s="85">
        <f>F34+F35+F36</f>
        <v>329467448.48000002</v>
      </c>
      <c r="G33" s="87">
        <f>E33-F33</f>
        <v>-329467448.48000002</v>
      </c>
    </row>
    <row r="34" spans="1:9" ht="26.25" customHeight="1" x14ac:dyDescent="0.25">
      <c r="A34" s="4">
        <v>325511</v>
      </c>
      <c r="B34" s="57" t="s">
        <v>30</v>
      </c>
      <c r="C34" s="90">
        <v>0</v>
      </c>
      <c r="D34" s="90">
        <v>0</v>
      </c>
      <c r="E34" s="85">
        <f t="shared" si="2"/>
        <v>0</v>
      </c>
      <c r="F34" s="90">
        <v>238769608.69999999</v>
      </c>
      <c r="G34" s="91">
        <f t="shared" ref="G34:G40" si="7">E34-F34</f>
        <v>-238769608.69999999</v>
      </c>
    </row>
    <row r="35" spans="1:9" ht="31.5" customHeight="1" x14ac:dyDescent="0.25">
      <c r="A35" s="4">
        <v>325513</v>
      </c>
      <c r="B35" s="57" t="s">
        <v>63</v>
      </c>
      <c r="C35" s="90">
        <v>0</v>
      </c>
      <c r="D35" s="90">
        <v>0</v>
      </c>
      <c r="E35" s="85">
        <f t="shared" si="2"/>
        <v>0</v>
      </c>
      <c r="F35" s="90">
        <v>7215972.7800000003</v>
      </c>
      <c r="G35" s="91">
        <f t="shared" si="7"/>
        <v>-7215972.7800000003</v>
      </c>
    </row>
    <row r="36" spans="1:9" ht="18" customHeight="1" x14ac:dyDescent="0.25">
      <c r="A36" s="4">
        <v>325514</v>
      </c>
      <c r="B36" s="58" t="s">
        <v>31</v>
      </c>
      <c r="C36" s="90">
        <v>0</v>
      </c>
      <c r="D36" s="90">
        <v>0</v>
      </c>
      <c r="E36" s="85"/>
      <c r="F36" s="90">
        <v>83481867</v>
      </c>
      <c r="G36" s="91">
        <f t="shared" si="7"/>
        <v>-83481867</v>
      </c>
    </row>
    <row r="37" spans="1:9" s="11" customFormat="1" ht="18" customHeight="1" x14ac:dyDescent="0.25">
      <c r="A37" s="83">
        <v>4</v>
      </c>
      <c r="B37" s="84" t="s">
        <v>32</v>
      </c>
      <c r="C37" s="85">
        <f>+C38+C39+C40</f>
        <v>2225294901123</v>
      </c>
      <c r="D37" s="85">
        <f>D38+D39+D40</f>
        <v>-339000000000</v>
      </c>
      <c r="E37" s="85">
        <f>E38+E39+E40</f>
        <v>1886294901123</v>
      </c>
      <c r="F37" s="85">
        <f>F38+F39+F40</f>
        <v>501608685925.65997</v>
      </c>
      <c r="G37" s="87">
        <f t="shared" si="7"/>
        <v>1384686215197.3401</v>
      </c>
      <c r="H37" s="12"/>
    </row>
    <row r="38" spans="1:9" ht="18" customHeight="1" x14ac:dyDescent="0.25">
      <c r="A38" s="88">
        <v>41</v>
      </c>
      <c r="B38" s="94" t="s">
        <v>33</v>
      </c>
      <c r="C38" s="90">
        <v>1741080189</v>
      </c>
      <c r="D38" s="90">
        <v>0</v>
      </c>
      <c r="E38" s="90">
        <f t="shared" si="2"/>
        <v>1741080189</v>
      </c>
      <c r="F38" s="98">
        <v>1200000000</v>
      </c>
      <c r="G38" s="91">
        <f t="shared" si="7"/>
        <v>541080189</v>
      </c>
      <c r="H38" s="7"/>
      <c r="I38" s="105"/>
    </row>
    <row r="39" spans="1:9" ht="18" customHeight="1" x14ac:dyDescent="0.25">
      <c r="A39" s="88">
        <v>42</v>
      </c>
      <c r="B39" s="94" t="s">
        <v>34</v>
      </c>
      <c r="C39" s="90">
        <v>666693528550</v>
      </c>
      <c r="D39" s="90">
        <v>0</v>
      </c>
      <c r="E39" s="90">
        <f t="shared" si="2"/>
        <v>666693528550</v>
      </c>
      <c r="F39" s="99">
        <v>497313883000.75</v>
      </c>
      <c r="G39" s="91">
        <f t="shared" si="7"/>
        <v>169379645549.25</v>
      </c>
      <c r="H39" s="7"/>
      <c r="I39" s="104"/>
    </row>
    <row r="40" spans="1:9" ht="18" customHeight="1" x14ac:dyDescent="0.25">
      <c r="A40" s="88">
        <v>43</v>
      </c>
      <c r="B40" s="94" t="s">
        <v>35</v>
      </c>
      <c r="C40" s="100">
        <v>1556860292384</v>
      </c>
      <c r="D40" s="90">
        <f>-250000000000-69000000000-20000000000</f>
        <v>-339000000000</v>
      </c>
      <c r="E40" s="90">
        <f>C40+D40</f>
        <v>1217860292384</v>
      </c>
      <c r="F40" s="101">
        <v>3094802924.9099998</v>
      </c>
      <c r="G40" s="91">
        <f t="shared" si="7"/>
        <v>1214765489459.0901</v>
      </c>
      <c r="H40" s="7"/>
      <c r="I40" s="104"/>
    </row>
    <row r="41" spans="1:9" s="11" customFormat="1" ht="18" customHeight="1" thickBot="1" x14ac:dyDescent="0.3">
      <c r="A41" s="165" t="s">
        <v>36</v>
      </c>
      <c r="B41" s="166"/>
      <c r="C41" s="102">
        <f>C7+C37</f>
        <v>2496240643789</v>
      </c>
      <c r="D41" s="102">
        <f>D7+D37</f>
        <v>-339000000000</v>
      </c>
      <c r="E41" s="102">
        <f>E7+E37</f>
        <v>2157240643789</v>
      </c>
      <c r="F41" s="102">
        <f>F7+F37</f>
        <v>705053222944.03003</v>
      </c>
      <c r="G41" s="103">
        <f>E41-F41</f>
        <v>1452187420844.97</v>
      </c>
      <c r="H41" s="12"/>
      <c r="I41" s="104"/>
    </row>
    <row r="42" spans="1:9" ht="42" customHeight="1" x14ac:dyDescent="0.25">
      <c r="A42" s="153" t="s">
        <v>69</v>
      </c>
      <c r="B42" s="154"/>
      <c r="C42" s="154"/>
      <c r="D42" s="154"/>
      <c r="E42" s="154"/>
      <c r="F42" s="154"/>
      <c r="G42" s="155"/>
      <c r="I42" s="104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04"/>
    </row>
    <row r="44" spans="1:9" ht="26.25" customHeight="1" x14ac:dyDescent="0.25">
      <c r="A44" s="16" t="s">
        <v>74</v>
      </c>
      <c r="B44" s="17"/>
      <c r="C44" s="18"/>
      <c r="E44" s="18"/>
      <c r="G44" s="19"/>
      <c r="H44" s="14"/>
      <c r="I44" s="104"/>
    </row>
    <row r="45" spans="1:9" s="34" customFormat="1" ht="14.25" customHeight="1" x14ac:dyDescent="0.25">
      <c r="A45" s="28" t="s">
        <v>72</v>
      </c>
      <c r="B45" s="29"/>
      <c r="C45" s="167"/>
      <c r="D45" s="167"/>
      <c r="E45" s="31"/>
      <c r="F45" s="30"/>
      <c r="G45" s="32"/>
      <c r="H45" s="33"/>
      <c r="I45" s="104"/>
    </row>
    <row r="46" spans="1:9" s="30" customFormat="1" ht="14.25" customHeight="1" x14ac:dyDescent="0.25">
      <c r="A46" s="28" t="s">
        <v>73</v>
      </c>
      <c r="B46" s="110" t="s">
        <v>75</v>
      </c>
      <c r="C46" s="31"/>
      <c r="D46" s="109" t="s">
        <v>80</v>
      </c>
      <c r="E46" s="31"/>
      <c r="F46" s="108" t="s">
        <v>81</v>
      </c>
      <c r="G46" s="32"/>
      <c r="I46" s="104"/>
    </row>
    <row r="47" spans="1:9" ht="16.5" customHeight="1" x14ac:dyDescent="0.25">
      <c r="A47" s="16"/>
      <c r="B47" s="111" t="s">
        <v>46</v>
      </c>
      <c r="C47" s="62"/>
      <c r="D47" s="112" t="s">
        <v>76</v>
      </c>
      <c r="F47" s="112" t="s">
        <v>40</v>
      </c>
      <c r="G47" s="19"/>
      <c r="I47" s="106"/>
    </row>
    <row r="48" spans="1:9" s="15" customFormat="1" ht="20.25" customHeight="1" x14ac:dyDescent="0.25">
      <c r="A48" s="16" t="s">
        <v>79</v>
      </c>
      <c r="B48" s="111" t="s">
        <v>48</v>
      </c>
      <c r="D48" s="112" t="s">
        <v>78</v>
      </c>
      <c r="F48" s="112" t="s">
        <v>42</v>
      </c>
      <c r="G48" s="19"/>
      <c r="I48" s="104"/>
    </row>
    <row r="49" spans="1:9" s="15" customFormat="1" ht="16.5" customHeight="1" x14ac:dyDescent="0.25">
      <c r="A49" s="20" t="s">
        <v>73</v>
      </c>
      <c r="B49" s="26"/>
      <c r="C49" s="35"/>
      <c r="D49" s="27"/>
      <c r="E49" s="36"/>
      <c r="G49" s="19"/>
      <c r="I49" s="104"/>
    </row>
    <row r="50" spans="1:9" s="15" customFormat="1" ht="12.75" customHeight="1" x14ac:dyDescent="0.25">
      <c r="A50" s="20" t="s">
        <v>77</v>
      </c>
      <c r="B50" s="26"/>
      <c r="C50" s="37"/>
      <c r="D50" s="27"/>
      <c r="E50" s="36"/>
      <c r="G50" s="19"/>
      <c r="I50" s="104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07"/>
    </row>
  </sheetData>
  <mergeCells count="4">
    <mergeCell ref="A1:G1"/>
    <mergeCell ref="A41:B41"/>
    <mergeCell ref="A42:G42"/>
    <mergeCell ref="C45:D45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9" zoomScaleNormal="100" workbookViewId="0">
      <selection activeCell="A34" sqref="A34:B36"/>
    </sheetView>
  </sheetViews>
  <sheetFormatPr baseColWidth="10" defaultColWidth="11.42578125" defaultRowHeight="20.100000000000001" customHeight="1" x14ac:dyDescent="0.25"/>
  <cols>
    <col min="1" max="1" width="11.42578125" style="8" customWidth="1"/>
    <col min="2" max="2" width="52.7109375" style="8" customWidth="1"/>
    <col min="3" max="3" width="25.7109375" style="15" customWidth="1"/>
    <col min="4" max="4" width="23" style="15" customWidth="1"/>
    <col min="5" max="5" width="21.42578125" style="15" customWidth="1"/>
    <col min="6" max="6" width="24.42578125" style="15" customWidth="1"/>
    <col min="7" max="7" width="23.2851562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12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12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82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51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217477256672.60001</v>
      </c>
      <c r="G7" s="113">
        <f t="shared" ref="G7:G20" si="0">E7-F7</f>
        <v>53468485993.399994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F8" si="1">+D9</f>
        <v>0</v>
      </c>
      <c r="E8" s="1">
        <f t="shared" si="1"/>
        <v>247773703966</v>
      </c>
      <c r="F8" s="1">
        <f t="shared" si="1"/>
        <v>187669635707.13</v>
      </c>
      <c r="G8" s="53">
        <f t="shared" si="0"/>
        <v>60104068258.869995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187669635707.13</v>
      </c>
      <c r="G9" s="53">
        <f t="shared" si="0"/>
        <v>60104068258.869995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8317143776.4400005</v>
      </c>
      <c r="G10" s="53">
        <f t="shared" si="0"/>
        <v>30509856223.559998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8181423507.4400005</v>
      </c>
      <c r="G11" s="53">
        <f t="shared" si="0"/>
        <v>30645576492.559998</v>
      </c>
    </row>
    <row r="12" spans="1:9" s="11" customFormat="1" ht="14.25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 t="shared" si="0"/>
        <v>30705718281</v>
      </c>
      <c r="H12" s="12"/>
      <c r="I12" s="12"/>
    </row>
    <row r="13" spans="1:9" ht="14.25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553987977.44+110062260+88875230+88216321</f>
        <v>841141788.44000006</v>
      </c>
      <c r="G13" s="3">
        <f t="shared" si="0"/>
        <v>-60141788.440000057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2">+C14+D14</f>
        <v>0</v>
      </c>
      <c r="F14" s="1">
        <f>F15</f>
        <v>135720269</v>
      </c>
      <c r="G14" s="3">
        <f t="shared" si="0"/>
        <v>-135720269</v>
      </c>
    </row>
    <row r="15" spans="1:9" ht="15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2"/>
        <v>0</v>
      </c>
      <c r="F15" s="2">
        <f>125344034+3458745+3458745+3458745</f>
        <v>135720269</v>
      </c>
      <c r="G15" s="3">
        <f t="shared" si="0"/>
        <v>-135720269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179352491930.69</v>
      </c>
      <c r="G16" s="53">
        <f t="shared" si="0"/>
        <v>29594212035.309998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160998569168.37</v>
      </c>
      <c r="G17" s="53">
        <f t="shared" si="0"/>
        <v>40943134797.630005</v>
      </c>
      <c r="I17" s="12"/>
    </row>
    <row r="18" spans="1:9" ht="13.5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2"/>
        <v>201941703966</v>
      </c>
      <c r="F18" s="2">
        <f>117376162999.37+15933822800+14061548269+13627035100</f>
        <v>160998569168.37</v>
      </c>
      <c r="G18" s="3">
        <f t="shared" si="0"/>
        <v>40943134797.630005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2"/>
        <v>7005000000</v>
      </c>
      <c r="F19" s="54">
        <f>F20+F21+F22+F23</f>
        <v>18353922762.32</v>
      </c>
      <c r="G19" s="3">
        <f t="shared" si="0"/>
        <v>-11348922762.32</v>
      </c>
    </row>
    <row r="20" spans="1:9" ht="15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2"/>
        <v>7000000000</v>
      </c>
      <c r="F20" s="2">
        <v>18265619693.139999</v>
      </c>
      <c r="G20" s="3">
        <f t="shared" si="0"/>
        <v>-11265619693.139999</v>
      </c>
    </row>
    <row r="21" spans="1:9" ht="15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2"/>
        <v>0</v>
      </c>
      <c r="F21" s="2">
        <f>1567139+10957069.66</f>
        <v>12524208.66</v>
      </c>
      <c r="G21" s="3">
        <f t="shared" ref="G21:G23" si="3">E21-F21</f>
        <v>-12524208.66</v>
      </c>
    </row>
    <row r="22" spans="1:9" ht="15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2"/>
        <v>0</v>
      </c>
      <c r="F22" s="2">
        <v>66900000</v>
      </c>
      <c r="G22" s="3">
        <f t="shared" si="3"/>
        <v>-66900000</v>
      </c>
    </row>
    <row r="23" spans="1:9" ht="15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2"/>
        <v>5000000</v>
      </c>
      <c r="F23" s="2">
        <f>5972716.52+762215+1393700+750229</f>
        <v>8878860.5199999996</v>
      </c>
      <c r="G23" s="3">
        <f t="shared" si="3"/>
        <v>-3878860.5199999996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C25+C30+C32</f>
        <v>23172038700</v>
      </c>
      <c r="D24" s="1">
        <f>-D25-D30</f>
        <v>0</v>
      </c>
      <c r="E24" s="1">
        <f>E25+E30+E32</f>
        <v>23172038700</v>
      </c>
      <c r="F24" s="1">
        <f>F25+F30+F32</f>
        <v>29807620965.469997</v>
      </c>
      <c r="G24" s="53">
        <f t="shared" ref="G24:G32" si="4">+E24-F24</f>
        <v>-6635582265.4699974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12195713742.99</v>
      </c>
      <c r="G25" s="56">
        <f t="shared" ref="G25:G31" si="5">E25-F25</f>
        <v>-6423675042.9899998</v>
      </c>
    </row>
    <row r="26" spans="1:9" ht="15.75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2"/>
        <v>40000000</v>
      </c>
      <c r="F26" s="2">
        <f>25617011.7+2559266.09+2356465.15+4390813.68</f>
        <v>34923556.619999997</v>
      </c>
      <c r="G26" s="3">
        <f t="shared" si="5"/>
        <v>5076443.3800000027</v>
      </c>
      <c r="H26" s="7"/>
    </row>
    <row r="27" spans="1:9" ht="15.75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2"/>
        <v>5732038700</v>
      </c>
      <c r="F27" s="2">
        <f>11276395194.61+8565993.71+105617869.41+304428671.55</f>
        <v>11695007729.279999</v>
      </c>
      <c r="G27" s="3">
        <f t="shared" si="5"/>
        <v>-5962969029.2799988</v>
      </c>
    </row>
    <row r="28" spans="1:9" ht="15.75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2"/>
        <v>0</v>
      </c>
      <c r="F28" s="2">
        <v>465782457.08999997</v>
      </c>
      <c r="G28" s="3">
        <f t="shared" si="5"/>
        <v>-465782457.08999997</v>
      </c>
    </row>
    <row r="29" spans="1:9" s="11" customFormat="1" ht="18" customHeight="1" x14ac:dyDescent="0.25">
      <c r="A29" s="48">
        <v>325</v>
      </c>
      <c r="B29" s="49" t="s">
        <v>27</v>
      </c>
      <c r="C29" s="1">
        <f>C30+C32</f>
        <v>17400000000</v>
      </c>
      <c r="D29" s="1">
        <f>-D32</f>
        <v>0</v>
      </c>
      <c r="E29" s="1">
        <f>+C29+D29</f>
        <v>17400000000</v>
      </c>
      <c r="F29" s="1">
        <f>F30+F32</f>
        <v>17611907222.48</v>
      </c>
      <c r="G29" s="53">
        <f t="shared" si="5"/>
        <v>-211907222.47999954</v>
      </c>
    </row>
    <row r="30" spans="1:9" s="11" customFormat="1" ht="18" customHeight="1" x14ac:dyDescent="0.25">
      <c r="A30" s="48">
        <v>3252</v>
      </c>
      <c r="B30" s="49" t="s">
        <v>54</v>
      </c>
      <c r="C30" s="1">
        <f>+C31</f>
        <v>17400000000</v>
      </c>
      <c r="D30" s="1">
        <f>-D31</f>
        <v>0</v>
      </c>
      <c r="E30" s="1">
        <f t="shared" si="2"/>
        <v>17400000000</v>
      </c>
      <c r="F30" s="1">
        <f>F31</f>
        <v>17278000000</v>
      </c>
      <c r="G30" s="3">
        <f t="shared" si="5"/>
        <v>122000000</v>
      </c>
    </row>
    <row r="31" spans="1:9" ht="14.25" customHeight="1" x14ac:dyDescent="0.25">
      <c r="A31" s="4">
        <v>32521</v>
      </c>
      <c r="B31" s="5" t="s">
        <v>54</v>
      </c>
      <c r="C31" s="2">
        <v>17400000000</v>
      </c>
      <c r="D31" s="2">
        <v>0</v>
      </c>
      <c r="E31" s="2">
        <f t="shared" si="2"/>
        <v>17400000000</v>
      </c>
      <c r="F31" s="2">
        <v>17278000000</v>
      </c>
      <c r="G31" s="3">
        <f t="shared" si="5"/>
        <v>122000000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2"/>
        <v>0</v>
      </c>
      <c r="F32" s="1">
        <f>F33</f>
        <v>333907222.48000002</v>
      </c>
      <c r="G32" s="53">
        <f t="shared" si="4"/>
        <v>-333907222.48000002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2"/>
        <v>0</v>
      </c>
      <c r="F33" s="1">
        <f>F34+F35+F36</f>
        <v>333907222.48000002</v>
      </c>
      <c r="G33" s="53">
        <f>E33-F33</f>
        <v>-333907222.48000002</v>
      </c>
    </row>
    <row r="34" spans="1:9" ht="28.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2"/>
        <v>0</v>
      </c>
      <c r="F34" s="2">
        <f>238769608.7+4439774</f>
        <v>243209382.69999999</v>
      </c>
      <c r="G34" s="3">
        <f t="shared" ref="G34:G40" si="6">E34-F34</f>
        <v>-243209382.69999999</v>
      </c>
    </row>
    <row r="35" spans="1:9" ht="30" customHeight="1" x14ac:dyDescent="0.25">
      <c r="A35" s="4">
        <v>325513</v>
      </c>
      <c r="B35" s="57" t="s">
        <v>63</v>
      </c>
      <c r="C35" s="2">
        <v>0</v>
      </c>
      <c r="D35" s="2">
        <v>0</v>
      </c>
      <c r="E35" s="1">
        <f t="shared" si="2"/>
        <v>0</v>
      </c>
      <c r="F35" s="2">
        <v>7215972.7800000003</v>
      </c>
      <c r="G35" s="3">
        <f t="shared" si="6"/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v>83481867</v>
      </c>
      <c r="G36" s="3">
        <f t="shared" si="6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501854214124.35999</v>
      </c>
      <c r="G37" s="53">
        <f t="shared" si="6"/>
        <v>1384440686998.6401</v>
      </c>
      <c r="H37" s="12"/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2"/>
        <v>1741080189</v>
      </c>
      <c r="F38" s="80">
        <v>1200000000</v>
      </c>
      <c r="G38" s="3">
        <f t="shared" si="6"/>
        <v>541080189</v>
      </c>
      <c r="H38" s="7"/>
      <c r="I38" s="105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2"/>
        <v>666693528550</v>
      </c>
      <c r="F39" s="81">
        <v>497313883000.75</v>
      </c>
      <c r="G39" s="3">
        <f t="shared" si="6"/>
        <v>169379645549.25</v>
      </c>
      <c r="H39" s="7"/>
      <c r="I39" s="104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82">
        <v>3340331123.6100001</v>
      </c>
      <c r="G40" s="3">
        <f t="shared" si="6"/>
        <v>1214519961260.3899</v>
      </c>
      <c r="H40" s="7"/>
      <c r="I40" s="104"/>
    </row>
    <row r="41" spans="1:9" s="11" customFormat="1" ht="18" customHeight="1" thickBot="1" x14ac:dyDescent="0.3">
      <c r="A41" s="151" t="s">
        <v>36</v>
      </c>
      <c r="B41" s="152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719331470796.95996</v>
      </c>
      <c r="G41" s="60">
        <f>E41-F41</f>
        <v>1437909172992.04</v>
      </c>
      <c r="H41" s="12"/>
      <c r="I41" s="104"/>
    </row>
    <row r="42" spans="1:9" ht="42" customHeight="1" x14ac:dyDescent="0.25">
      <c r="A42" s="153" t="s">
        <v>69</v>
      </c>
      <c r="B42" s="154"/>
      <c r="C42" s="154"/>
      <c r="D42" s="154"/>
      <c r="E42" s="154"/>
      <c r="F42" s="154"/>
      <c r="G42" s="155"/>
      <c r="I42" s="104"/>
    </row>
    <row r="43" spans="1:9" ht="16.5" customHeight="1" x14ac:dyDescent="0.25">
      <c r="A43" s="114"/>
      <c r="B43" s="39"/>
      <c r="C43" s="39"/>
      <c r="D43" s="41"/>
      <c r="E43" s="41"/>
      <c r="F43" s="39"/>
      <c r="G43" s="42"/>
      <c r="I43" s="104"/>
    </row>
    <row r="44" spans="1:9" ht="26.25" customHeight="1" x14ac:dyDescent="0.25">
      <c r="A44" s="16"/>
      <c r="B44" s="115"/>
      <c r="C44" s="18"/>
      <c r="E44" s="18"/>
      <c r="G44" s="19"/>
      <c r="H44" s="14"/>
      <c r="I44" s="104"/>
    </row>
    <row r="45" spans="1:9" s="34" customFormat="1" ht="14.25" customHeight="1" x14ac:dyDescent="0.25">
      <c r="A45" s="16"/>
      <c r="B45" s="120" t="s">
        <v>83</v>
      </c>
      <c r="C45" s="15"/>
      <c r="D45" s="169" t="s">
        <v>40</v>
      </c>
      <c r="E45" s="169"/>
      <c r="F45" s="119"/>
      <c r="G45" s="32"/>
      <c r="H45" s="33"/>
      <c r="I45" s="104"/>
    </row>
    <row r="46" spans="1:9" s="30" customFormat="1" ht="14.25" customHeight="1" x14ac:dyDescent="0.25">
      <c r="A46" s="123" t="s">
        <v>84</v>
      </c>
      <c r="B46" s="121" t="s">
        <v>85</v>
      </c>
      <c r="C46" s="119"/>
      <c r="D46" s="167" t="s">
        <v>42</v>
      </c>
      <c r="E46" s="167"/>
      <c r="F46" s="119"/>
      <c r="G46" s="32"/>
      <c r="I46" s="104"/>
    </row>
    <row r="47" spans="1:9" ht="26.25" customHeight="1" x14ac:dyDescent="0.25">
      <c r="A47" s="123"/>
      <c r="B47" s="30"/>
      <c r="C47" s="119"/>
      <c r="E47" s="30"/>
      <c r="F47" s="112"/>
      <c r="G47" s="19"/>
      <c r="I47" s="106"/>
    </row>
    <row r="48" spans="1:9" s="15" customFormat="1" ht="20.25" customHeight="1" x14ac:dyDescent="0.25">
      <c r="A48" s="124"/>
      <c r="B48" s="8"/>
      <c r="C48" s="8" t="s">
        <v>84</v>
      </c>
      <c r="D48" s="8"/>
      <c r="F48" s="110"/>
      <c r="G48" s="19"/>
      <c r="I48" s="104"/>
    </row>
    <row r="49" spans="1:9" s="15" customFormat="1" ht="16.5" customHeight="1" x14ac:dyDescent="0.25">
      <c r="A49" s="16" t="s">
        <v>84</v>
      </c>
      <c r="B49" s="120" t="s">
        <v>86</v>
      </c>
      <c r="C49" s="15" t="s">
        <v>87</v>
      </c>
      <c r="D49" s="169" t="s">
        <v>46</v>
      </c>
      <c r="E49" s="169"/>
      <c r="F49" s="110"/>
      <c r="G49" s="19"/>
      <c r="I49" s="104"/>
    </row>
    <row r="50" spans="1:9" s="15" customFormat="1" ht="12.75" customHeight="1" x14ac:dyDescent="0.25">
      <c r="A50" s="125"/>
      <c r="B50" s="122" t="s">
        <v>88</v>
      </c>
      <c r="C50" s="27"/>
      <c r="D50" s="168" t="s">
        <v>48</v>
      </c>
      <c r="E50" s="168"/>
      <c r="G50" s="19"/>
      <c r="I50" s="104"/>
    </row>
    <row r="51" spans="1:9" ht="18" customHeight="1" thickBot="1" x14ac:dyDescent="0.3">
      <c r="A51" s="126"/>
      <c r="B51" s="116"/>
      <c r="C51" s="117"/>
      <c r="D51" s="118"/>
      <c r="E51" s="24"/>
      <c r="F51" s="24"/>
      <c r="G51" s="25"/>
      <c r="I51" s="107"/>
    </row>
  </sheetData>
  <mergeCells count="7">
    <mergeCell ref="D50:E50"/>
    <mergeCell ref="D45:E45"/>
    <mergeCell ref="D46:E46"/>
    <mergeCell ref="D49:E49"/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32 G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4"/>
  <sheetViews>
    <sheetView tabSelected="1" topLeftCell="A25" zoomScaleNormal="100" workbookViewId="0">
      <selection activeCell="C50" sqref="C50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7109375" style="8" customWidth="1"/>
    <col min="3" max="3" width="25.7109375" style="15" customWidth="1"/>
    <col min="4" max="4" width="23" style="15" customWidth="1"/>
    <col min="5" max="5" width="21.42578125" style="15" customWidth="1"/>
    <col min="6" max="6" width="24.42578125" style="15" customWidth="1"/>
    <col min="7" max="7" width="23.28515625" style="15" customWidth="1"/>
    <col min="8" max="8" width="28.85546875" style="8" customWidth="1"/>
    <col min="9" max="9" width="22" style="8" customWidth="1"/>
    <col min="10" max="10" width="23.85546875" style="8" customWidth="1"/>
    <col min="11" max="16384" width="11.42578125" style="8"/>
  </cols>
  <sheetData>
    <row r="1" spans="1:9" ht="45.75" customHeight="1" x14ac:dyDescent="0.25">
      <c r="A1" s="162" t="s">
        <v>0</v>
      </c>
      <c r="B1" s="163"/>
      <c r="C1" s="163"/>
      <c r="D1" s="163"/>
      <c r="E1" s="163"/>
      <c r="F1" s="163"/>
      <c r="G1" s="164"/>
    </row>
    <row r="2" spans="1:9" ht="24" customHeight="1" x14ac:dyDescent="0.25">
      <c r="A2" s="70" t="s">
        <v>1</v>
      </c>
      <c r="B2" s="71"/>
      <c r="C2" s="72"/>
      <c r="D2" s="72"/>
      <c r="E2" s="72"/>
      <c r="F2" s="72"/>
      <c r="G2" s="73"/>
    </row>
    <row r="3" spans="1:9" ht="10.5" customHeight="1" x14ac:dyDescent="0.25">
      <c r="A3" s="74"/>
      <c r="B3" s="71"/>
      <c r="C3" s="72"/>
      <c r="D3" s="72"/>
      <c r="E3" s="72"/>
      <c r="F3" s="72"/>
      <c r="G3" s="75"/>
    </row>
    <row r="4" spans="1:9" ht="33.75" customHeight="1" x14ac:dyDescent="0.25">
      <c r="A4" s="74" t="s">
        <v>2</v>
      </c>
      <c r="B4" s="71" t="s">
        <v>3</v>
      </c>
      <c r="C4" s="72"/>
      <c r="D4" s="72"/>
      <c r="E4" s="72" t="s">
        <v>4</v>
      </c>
      <c r="F4" s="72" t="s">
        <v>89</v>
      </c>
      <c r="G4" s="76" t="s">
        <v>50</v>
      </c>
    </row>
    <row r="5" spans="1:9" ht="12" customHeight="1" thickBot="1" x14ac:dyDescent="0.3">
      <c r="A5" s="74"/>
      <c r="B5" s="71"/>
      <c r="C5" s="72"/>
      <c r="D5" s="72"/>
      <c r="E5" s="72"/>
      <c r="F5" s="72"/>
      <c r="G5" s="73"/>
    </row>
    <row r="6" spans="1:9" s="11" customFormat="1" ht="60.75" customHeight="1" thickBot="1" x14ac:dyDescent="0.3">
      <c r="A6" s="77" t="s">
        <v>5</v>
      </c>
      <c r="B6" s="78" t="s">
        <v>6</v>
      </c>
      <c r="C6" s="79" t="s">
        <v>7</v>
      </c>
      <c r="D6" s="79" t="s">
        <v>8</v>
      </c>
      <c r="E6" s="79" t="s">
        <v>9</v>
      </c>
      <c r="F6" s="79" t="s">
        <v>10</v>
      </c>
      <c r="G6" s="79" t="s">
        <v>11</v>
      </c>
    </row>
    <row r="7" spans="1:9" s="11" customFormat="1" ht="28.5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-2306011155</v>
      </c>
      <c r="E7" s="1">
        <f>E8+E24</f>
        <v>268639731511</v>
      </c>
      <c r="F7" s="1">
        <f>F8+F24</f>
        <v>271886702389.41</v>
      </c>
      <c r="G7" s="113">
        <f t="shared" ref="G7:G23" si="0">E7-F7</f>
        <v>-3246970878.4100037</v>
      </c>
    </row>
    <row r="8" spans="1:9" s="11" customFormat="1" ht="23.25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F8" si="1">+D9</f>
        <v>-2256011155</v>
      </c>
      <c r="E8" s="1">
        <f t="shared" si="1"/>
        <v>245517692811</v>
      </c>
      <c r="F8" s="1">
        <f t="shared" si="1"/>
        <v>242060272252.37</v>
      </c>
      <c r="G8" s="53">
        <f t="shared" si="0"/>
        <v>3457420558.6300049</v>
      </c>
    </row>
    <row r="9" spans="1:9" s="11" customFormat="1" ht="20.25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-2256011155</v>
      </c>
      <c r="E9" s="1">
        <f>E10+E16</f>
        <v>245517692811</v>
      </c>
      <c r="F9" s="1">
        <f>F10+F16</f>
        <v>242060272252.37</v>
      </c>
      <c r="G9" s="53">
        <f t="shared" si="0"/>
        <v>3457420558.6300049</v>
      </c>
    </row>
    <row r="10" spans="1:9" s="11" customFormat="1" ht="20.25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46453903118.419998</v>
      </c>
      <c r="G10" s="53">
        <f t="shared" si="0"/>
        <v>-7626903118.4199982</v>
      </c>
    </row>
    <row r="11" spans="1:9" s="11" customFormat="1" ht="20.25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46314724104.419998</v>
      </c>
      <c r="G11" s="53">
        <f>E11-F11</f>
        <v>-7487724104.4199982</v>
      </c>
    </row>
    <row r="12" spans="1:9" s="11" customFormat="1" ht="18.75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f>7340281719+38046000000</f>
        <v>45386281719</v>
      </c>
      <c r="G12" s="3">
        <f t="shared" si="0"/>
        <v>-7340281719</v>
      </c>
      <c r="H12" s="12"/>
      <c r="I12" s="12"/>
    </row>
    <row r="13" spans="1:9" ht="18.75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553987977.44+110062260+88875230+88216321+87300596.98</f>
        <v>928442385.42000008</v>
      </c>
      <c r="G13" s="3">
        <f t="shared" si="0"/>
        <v>-147442385.42000008</v>
      </c>
    </row>
    <row r="14" spans="1:9" ht="20.25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2">+C14+D14</f>
        <v>0</v>
      </c>
      <c r="F14" s="1">
        <f>F15</f>
        <v>139179014</v>
      </c>
      <c r="G14" s="3">
        <f t="shared" si="0"/>
        <v>-139179014</v>
      </c>
    </row>
    <row r="15" spans="1:9" ht="20.25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2"/>
        <v>0</v>
      </c>
      <c r="F15" s="2">
        <f>125344034+3458745+3458745+3458745+3458745</f>
        <v>139179014</v>
      </c>
      <c r="G15" s="3">
        <f t="shared" si="0"/>
        <v>-139179014</v>
      </c>
    </row>
    <row r="16" spans="1:9" s="11" customFormat="1" ht="20.25" customHeight="1" x14ac:dyDescent="0.25">
      <c r="A16" s="48">
        <v>3128</v>
      </c>
      <c r="B16" s="49" t="s">
        <v>18</v>
      </c>
      <c r="C16" s="1">
        <f>+C17+C19</f>
        <v>208946703966</v>
      </c>
      <c r="D16" s="1">
        <v>-2256011155</v>
      </c>
      <c r="E16" s="1">
        <f>C16+D16</f>
        <v>206690692811</v>
      </c>
      <c r="F16" s="1">
        <f>+F17+F19</f>
        <v>195606369133.94998</v>
      </c>
      <c r="G16" s="53">
        <f t="shared" si="0"/>
        <v>11084323677.050018</v>
      </c>
    </row>
    <row r="17" spans="1:10" s="11" customFormat="1" ht="20.25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-2256011155</v>
      </c>
      <c r="E17" s="1">
        <f>C17+D17</f>
        <v>199685692811</v>
      </c>
      <c r="F17" s="1">
        <f>+F18</f>
        <v>177241788478.37</v>
      </c>
      <c r="G17" s="53">
        <f t="shared" si="0"/>
        <v>22443904332.630005</v>
      </c>
      <c r="I17" s="12"/>
    </row>
    <row r="18" spans="1:10" ht="20.25" customHeight="1" x14ac:dyDescent="0.25">
      <c r="A18" s="4">
        <v>312811</v>
      </c>
      <c r="B18" s="5" t="s">
        <v>20</v>
      </c>
      <c r="C18" s="2">
        <v>201941703966</v>
      </c>
      <c r="D18" s="2">
        <v>-2256011155</v>
      </c>
      <c r="E18" s="2">
        <f>C18+D18</f>
        <v>199685692811</v>
      </c>
      <c r="F18" s="2">
        <f>117376162999.37+15933822800+14061548269+13627035100+16243219310</f>
        <v>177241788478.37</v>
      </c>
      <c r="G18" s="3">
        <f t="shared" si="0"/>
        <v>22443904332.630005</v>
      </c>
      <c r="I18" s="7"/>
    </row>
    <row r="19" spans="1:10" s="11" customFormat="1" ht="20.25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2"/>
        <v>7005000000</v>
      </c>
      <c r="F19" s="54">
        <f>F20+F21+F22+F23</f>
        <v>18364580655.579998</v>
      </c>
      <c r="G19" s="3">
        <f t="shared" si="0"/>
        <v>-11359580655.579998</v>
      </c>
    </row>
    <row r="20" spans="1:10" ht="20.25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2"/>
        <v>7000000000</v>
      </c>
      <c r="F20" s="2">
        <f>18265619693.14+8480900</f>
        <v>18274100593.139999</v>
      </c>
      <c r="G20" s="3">
        <f t="shared" si="0"/>
        <v>-11274100593.139999</v>
      </c>
    </row>
    <row r="21" spans="1:10" ht="20.25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2"/>
        <v>0</v>
      </c>
      <c r="F21" s="2">
        <f>1567139+10957069.66+4705.02</f>
        <v>12528913.68</v>
      </c>
      <c r="G21" s="3">
        <f t="shared" si="0"/>
        <v>-12528913.68</v>
      </c>
    </row>
    <row r="22" spans="1:10" ht="20.25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2"/>
        <v>0</v>
      </c>
      <c r="F22" s="2">
        <v>66900000</v>
      </c>
      <c r="G22" s="3">
        <f t="shared" si="0"/>
        <v>-66900000</v>
      </c>
    </row>
    <row r="23" spans="1:10" ht="20.25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2"/>
        <v>5000000</v>
      </c>
      <c r="F23" s="2">
        <f>5972716.52+762215+1393700+750229+2172288.24</f>
        <v>11051148.76</v>
      </c>
      <c r="G23" s="3">
        <f t="shared" si="0"/>
        <v>-6051148.7599999998</v>
      </c>
    </row>
    <row r="24" spans="1:10" s="11" customFormat="1" ht="21.75" customHeight="1" x14ac:dyDescent="0.25">
      <c r="A24" s="48">
        <v>32</v>
      </c>
      <c r="B24" s="49" t="s">
        <v>24</v>
      </c>
      <c r="C24" s="1">
        <f>C25+C30+C32</f>
        <v>23172038700</v>
      </c>
      <c r="D24" s="1">
        <f>-D25+D30</f>
        <v>-50000000</v>
      </c>
      <c r="E24" s="1">
        <f>E25+E30+E32</f>
        <v>23122038700</v>
      </c>
      <c r="F24" s="1">
        <f>F25+F30+F32</f>
        <v>29826430137.039997</v>
      </c>
      <c r="G24" s="53">
        <f t="shared" ref="G24:G32" si="3">+E24-F24</f>
        <v>-6704391437.0399971</v>
      </c>
      <c r="H24" s="12"/>
    </row>
    <row r="25" spans="1:10" s="11" customFormat="1" ht="23.25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12210015221.559999</v>
      </c>
      <c r="G25" s="56">
        <f t="shared" ref="G25:G31" si="4">E25-F25</f>
        <v>-6437976521.5599995</v>
      </c>
    </row>
    <row r="26" spans="1:10" ht="27.75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2"/>
        <v>40000000</v>
      </c>
      <c r="F26" s="2">
        <f>25617011.7+2559266.09+2356465.15+4390813.68+1709923.58</f>
        <v>36633480.199999996</v>
      </c>
      <c r="G26" s="3">
        <f t="shared" si="4"/>
        <v>3366519.8000000045</v>
      </c>
      <c r="H26" s="7"/>
    </row>
    <row r="27" spans="1:10" ht="22.5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2"/>
        <v>5732038700</v>
      </c>
      <c r="F27" s="2">
        <f>11276395194.61+8565993.71+105617869.41+304428671.55+12591554.99</f>
        <v>11707599284.269999</v>
      </c>
      <c r="G27" s="3">
        <f t="shared" si="4"/>
        <v>-5975560584.2699986</v>
      </c>
    </row>
    <row r="28" spans="1:10" ht="21.75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2"/>
        <v>0</v>
      </c>
      <c r="F28" s="2">
        <v>465782457.08999997</v>
      </c>
      <c r="G28" s="3">
        <f t="shared" si="4"/>
        <v>-465782457.08999997</v>
      </c>
    </row>
    <row r="29" spans="1:10" s="11" customFormat="1" ht="27" customHeight="1" x14ac:dyDescent="0.25">
      <c r="A29" s="48">
        <v>325</v>
      </c>
      <c r="B29" s="49" t="s">
        <v>27</v>
      </c>
      <c r="C29" s="1">
        <f>C30+C32</f>
        <v>17400000000</v>
      </c>
      <c r="D29" s="1">
        <f>D30-D32</f>
        <v>-50000000</v>
      </c>
      <c r="E29" s="1">
        <f>+C29+D29</f>
        <v>17350000000</v>
      </c>
      <c r="F29" s="1">
        <f>F30+F32</f>
        <v>17616414915.48</v>
      </c>
      <c r="G29" s="53">
        <f t="shared" si="4"/>
        <v>-266414915.47999954</v>
      </c>
      <c r="H29" s="12"/>
    </row>
    <row r="30" spans="1:10" s="11" customFormat="1" ht="21" customHeight="1" x14ac:dyDescent="0.25">
      <c r="A30" s="48">
        <v>3252</v>
      </c>
      <c r="B30" s="49" t="s">
        <v>54</v>
      </c>
      <c r="C30" s="1">
        <f>+C31</f>
        <v>17400000000</v>
      </c>
      <c r="D30" s="1">
        <f>D31</f>
        <v>-50000000</v>
      </c>
      <c r="E30" s="1">
        <f t="shared" si="2"/>
        <v>17350000000</v>
      </c>
      <c r="F30" s="1">
        <f>F31</f>
        <v>17278000000</v>
      </c>
      <c r="G30" s="3">
        <f t="shared" si="4"/>
        <v>72000000</v>
      </c>
      <c r="H30" s="12"/>
    </row>
    <row r="31" spans="1:10" ht="22.5" customHeight="1" x14ac:dyDescent="0.25">
      <c r="A31" s="4">
        <v>32521</v>
      </c>
      <c r="B31" s="5" t="s">
        <v>54</v>
      </c>
      <c r="C31" s="2">
        <v>17400000000</v>
      </c>
      <c r="D31" s="2">
        <v>-50000000</v>
      </c>
      <c r="E31" s="2">
        <f t="shared" si="2"/>
        <v>17350000000</v>
      </c>
      <c r="F31" s="2">
        <v>17278000000</v>
      </c>
      <c r="G31" s="3">
        <f t="shared" si="4"/>
        <v>72000000</v>
      </c>
      <c r="H31" s="7"/>
      <c r="I31" s="7"/>
      <c r="J31" s="7"/>
    </row>
    <row r="32" spans="1:10" s="11" customFormat="1" ht="25.5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2"/>
        <v>0</v>
      </c>
      <c r="F32" s="1">
        <f>F33</f>
        <v>338414915.48000002</v>
      </c>
      <c r="G32" s="53">
        <f t="shared" si="3"/>
        <v>-338414915.48000002</v>
      </c>
      <c r="H32" s="12"/>
      <c r="I32" s="12"/>
      <c r="J32" s="12"/>
    </row>
    <row r="33" spans="1:10" s="11" customFormat="1" ht="30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2"/>
        <v>0</v>
      </c>
      <c r="F33" s="1">
        <f>F34+F35+F36</f>
        <v>338414915.48000002</v>
      </c>
      <c r="G33" s="53">
        <f>E33-F33</f>
        <v>-338414915.48000002</v>
      </c>
      <c r="H33" s="12"/>
      <c r="I33" s="12"/>
      <c r="J33" s="12"/>
    </row>
    <row r="34" spans="1:10" ht="39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2"/>
        <v>0</v>
      </c>
      <c r="F34" s="2">
        <f>238769608.7+4439774+4507693</f>
        <v>247717075.69999999</v>
      </c>
      <c r="G34" s="3">
        <f t="shared" ref="G34:G37" si="5">E34-F34</f>
        <v>-247717075.69999999</v>
      </c>
    </row>
    <row r="35" spans="1:10" ht="37.5" customHeight="1" x14ac:dyDescent="0.25">
      <c r="A35" s="4">
        <v>325513</v>
      </c>
      <c r="B35" s="57" t="s">
        <v>63</v>
      </c>
      <c r="C35" s="2">
        <v>0</v>
      </c>
      <c r="D35" s="2">
        <v>0</v>
      </c>
      <c r="E35" s="1">
        <f t="shared" si="2"/>
        <v>0</v>
      </c>
      <c r="F35" s="2">
        <v>7215972.7800000003</v>
      </c>
      <c r="G35" s="3">
        <f t="shared" si="5"/>
        <v>-7215972.7800000003</v>
      </c>
    </row>
    <row r="36" spans="1:10" ht="31.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v>83481867</v>
      </c>
      <c r="G36" s="3">
        <f t="shared" si="5"/>
        <v>-83481867</v>
      </c>
    </row>
    <row r="37" spans="1:10" s="11" customFormat="1" ht="33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-375000000000</v>
      </c>
      <c r="E37" s="1">
        <f>E38+E39+E40</f>
        <v>1850294901123</v>
      </c>
      <c r="F37" s="1">
        <f>F38+F39+F40</f>
        <v>1357010478937.79</v>
      </c>
      <c r="G37" s="53">
        <f t="shared" si="5"/>
        <v>493284422185.20996</v>
      </c>
      <c r="H37" s="12"/>
    </row>
    <row r="38" spans="1:10" ht="26.25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2"/>
        <v>1741080189</v>
      </c>
      <c r="F38" s="80">
        <v>1200000000</v>
      </c>
      <c r="G38" s="3">
        <f>E38-F38</f>
        <v>541080189</v>
      </c>
      <c r="H38" s="7"/>
      <c r="I38" s="105"/>
    </row>
    <row r="39" spans="1:10" ht="24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2"/>
        <v>666693528550</v>
      </c>
      <c r="F39" s="81">
        <f>497313883000.75+169379645543</f>
        <v>666693528543.75</v>
      </c>
      <c r="G39" s="3">
        <f>E39-F39</f>
        <v>6.25</v>
      </c>
      <c r="H39" s="7"/>
      <c r="I39" s="104"/>
    </row>
    <row r="40" spans="1:10" ht="26.25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-250000000000-69000000000-20000000000-5000000000-31000000000</f>
        <v>-375000000000</v>
      </c>
      <c r="E40" s="2">
        <f>C40+D40</f>
        <v>1181860292384</v>
      </c>
      <c r="F40" s="82">
        <v>689116950394.04004</v>
      </c>
      <c r="G40" s="3">
        <f>E40-F40</f>
        <v>492743341989.95996</v>
      </c>
      <c r="H40" s="7"/>
      <c r="I40" s="104"/>
    </row>
    <row r="41" spans="1:10" s="11" customFormat="1" ht="27.75" customHeight="1" thickBot="1" x14ac:dyDescent="0.3">
      <c r="A41" s="151" t="s">
        <v>36</v>
      </c>
      <c r="B41" s="152"/>
      <c r="C41" s="59">
        <f>C7+C37</f>
        <v>2496240643789</v>
      </c>
      <c r="D41" s="59">
        <f>D7+D37</f>
        <v>-377306011155</v>
      </c>
      <c r="E41" s="59">
        <f>E7+E37</f>
        <v>2118934632634</v>
      </c>
      <c r="F41" s="59">
        <f>F7+F37</f>
        <v>1628897181327.2</v>
      </c>
      <c r="G41" s="60">
        <f>E41-F41</f>
        <v>490037451306.80005</v>
      </c>
      <c r="H41" s="12"/>
      <c r="I41" s="104"/>
    </row>
    <row r="42" spans="1:10" ht="3.75" customHeight="1" x14ac:dyDescent="0.25">
      <c r="A42" s="142" t="s">
        <v>87</v>
      </c>
      <c r="B42" s="143"/>
      <c r="C42" s="143"/>
      <c r="D42" s="143"/>
      <c r="E42" s="143"/>
      <c r="F42" s="143"/>
      <c r="G42" s="144"/>
      <c r="I42" s="104"/>
    </row>
    <row r="43" spans="1:10" ht="60.75" customHeight="1" x14ac:dyDescent="0.25">
      <c r="A43" s="173" t="s">
        <v>90</v>
      </c>
      <c r="B43" s="174"/>
      <c r="C43" s="174"/>
      <c r="D43" s="174"/>
      <c r="E43" s="174"/>
      <c r="F43" s="174"/>
      <c r="G43" s="175"/>
      <c r="I43" s="104"/>
    </row>
    <row r="44" spans="1:10" ht="6" customHeight="1" x14ac:dyDescent="0.25">
      <c r="A44" s="142"/>
      <c r="B44" s="143"/>
      <c r="C44" s="143"/>
      <c r="D44" s="143"/>
      <c r="E44" s="143"/>
      <c r="F44" s="143"/>
      <c r="G44" s="144"/>
      <c r="I44" s="104"/>
    </row>
    <row r="45" spans="1:10" ht="47.25" customHeight="1" x14ac:dyDescent="0.25">
      <c r="A45" s="170" t="s">
        <v>91</v>
      </c>
      <c r="B45" s="171"/>
      <c r="C45" s="171"/>
      <c r="D45" s="171"/>
      <c r="E45" s="171"/>
      <c r="F45" s="171"/>
      <c r="G45" s="172"/>
      <c r="H45" s="141"/>
      <c r="I45" s="104"/>
    </row>
    <row r="46" spans="1:10" ht="26.25" customHeight="1" x14ac:dyDescent="0.25">
      <c r="A46" s="138"/>
      <c r="B46" s="139"/>
      <c r="C46" s="139"/>
      <c r="D46" s="139"/>
      <c r="E46" s="139"/>
      <c r="F46" s="139"/>
      <c r="G46" s="140"/>
      <c r="H46" s="141"/>
      <c r="I46" s="104"/>
    </row>
    <row r="47" spans="1:10" ht="26.25" customHeight="1" x14ac:dyDescent="0.25">
      <c r="A47" s="16"/>
      <c r="B47" s="115"/>
      <c r="C47" s="18"/>
      <c r="E47" s="18"/>
      <c r="G47" s="19"/>
      <c r="H47" s="141"/>
      <c r="I47" s="104"/>
    </row>
    <row r="48" spans="1:10" s="34" customFormat="1" ht="14.25" customHeight="1" x14ac:dyDescent="0.25">
      <c r="A48" s="16"/>
      <c r="B48" s="120" t="s">
        <v>83</v>
      </c>
      <c r="C48" s="15"/>
      <c r="D48" s="169" t="s">
        <v>40</v>
      </c>
      <c r="E48" s="169"/>
      <c r="F48" s="119"/>
      <c r="G48" s="32"/>
      <c r="H48" s="33"/>
      <c r="I48" s="104"/>
    </row>
    <row r="49" spans="1:9" s="30" customFormat="1" ht="14.25" customHeight="1" x14ac:dyDescent="0.25">
      <c r="A49" s="123" t="s">
        <v>84</v>
      </c>
      <c r="B49" s="121" t="s">
        <v>85</v>
      </c>
      <c r="C49" s="119"/>
      <c r="D49" s="167" t="s">
        <v>42</v>
      </c>
      <c r="E49" s="167"/>
      <c r="F49" s="119"/>
      <c r="G49" s="32"/>
      <c r="I49" s="104"/>
    </row>
    <row r="50" spans="1:9" ht="26.25" customHeight="1" x14ac:dyDescent="0.25">
      <c r="A50" s="123"/>
      <c r="B50" s="30"/>
      <c r="C50" s="119"/>
      <c r="E50" s="30"/>
      <c r="F50" s="112"/>
      <c r="G50" s="19"/>
      <c r="I50" s="106"/>
    </row>
    <row r="51" spans="1:9" s="15" customFormat="1" ht="20.25" customHeight="1" x14ac:dyDescent="0.25">
      <c r="A51" s="124"/>
      <c r="B51" s="8"/>
      <c r="C51" s="8" t="s">
        <v>84</v>
      </c>
      <c r="D51" s="8"/>
      <c r="F51" s="110"/>
      <c r="G51" s="19"/>
      <c r="I51" s="104"/>
    </row>
    <row r="52" spans="1:9" s="15" customFormat="1" ht="16.5" customHeight="1" x14ac:dyDescent="0.25">
      <c r="A52" s="16" t="s">
        <v>84</v>
      </c>
      <c r="B52" s="120" t="s">
        <v>86</v>
      </c>
      <c r="C52" s="15" t="s">
        <v>87</v>
      </c>
      <c r="D52" s="169" t="s">
        <v>46</v>
      </c>
      <c r="E52" s="169"/>
      <c r="F52" s="110"/>
      <c r="G52" s="19"/>
      <c r="I52" s="104"/>
    </row>
    <row r="53" spans="1:9" s="15" customFormat="1" ht="12.75" customHeight="1" x14ac:dyDescent="0.25">
      <c r="A53" s="125"/>
      <c r="B53" s="122" t="s">
        <v>88</v>
      </c>
      <c r="C53" s="27"/>
      <c r="D53" s="168" t="s">
        <v>48</v>
      </c>
      <c r="E53" s="168"/>
      <c r="G53" s="19"/>
      <c r="I53" s="104"/>
    </row>
    <row r="54" spans="1:9" ht="18" customHeight="1" thickBot="1" x14ac:dyDescent="0.3">
      <c r="A54" s="126"/>
      <c r="B54" s="116"/>
      <c r="C54" s="117"/>
      <c r="D54" s="118"/>
      <c r="E54" s="24"/>
      <c r="F54" s="24"/>
      <c r="G54" s="25"/>
      <c r="I54" s="107"/>
    </row>
  </sheetData>
  <mergeCells count="8">
    <mergeCell ref="D53:E53"/>
    <mergeCell ref="A1:G1"/>
    <mergeCell ref="A41:B41"/>
    <mergeCell ref="D48:E48"/>
    <mergeCell ref="D49:E49"/>
    <mergeCell ref="D52:E52"/>
    <mergeCell ref="A45:G45"/>
    <mergeCell ref="A43:G43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5" orientation="landscape" horizontalDpi="4294967294" r:id="rId1"/>
  <ignoredErrors>
    <ignoredError sqref="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DICIEMBRE!Títulos_a_imprimir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2019-01-25T19:30:11Z</cp:lastPrinted>
  <dcterms:created xsi:type="dcterms:W3CDTF">2018-02-19T16:24:13Z</dcterms:created>
  <dcterms:modified xsi:type="dcterms:W3CDTF">2019-01-28T22:39:46Z</dcterms:modified>
</cp:coreProperties>
</file>