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9\VIGENCIA\INGRESOS\"/>
    </mc:Choice>
  </mc:AlternateContent>
  <bookViews>
    <workbookView xWindow="0" yWindow="0" windowWidth="24000" windowHeight="7035" firstSheet="4" activeTab="11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  <sheet name="JUNIO" sheetId="8" r:id="rId6"/>
    <sheet name="JULIO" sheetId="9" r:id="rId7"/>
    <sheet name="AGOSTO" sheetId="12" r:id="rId8"/>
    <sheet name="SEPTIEMBRE" sheetId="11" r:id="rId9"/>
    <sheet name="OCTUBRE" sheetId="13" r:id="rId10"/>
    <sheet name="NOVIEMBRE" sheetId="14" r:id="rId11"/>
    <sheet name="DICIEMBRE" sheetId="15" r:id="rId12"/>
    <sheet name="DICIEMBRE Resumen" sheetId="16" r:id="rId13"/>
  </sheets>
  <definedNames>
    <definedName name="_xlnm.Print_Area" localSheetId="3">ABRIL!$A$1:$P$49</definedName>
    <definedName name="_xlnm.Print_Area" localSheetId="7">AGOSTO!$A$1:$P$56</definedName>
    <definedName name="_xlnm.Print_Area" localSheetId="11">DICIEMBRE!$A$1:$P$61</definedName>
    <definedName name="_xlnm.Print_Area" localSheetId="12">'DICIEMBRE Resumen'!$A$1:$Q$51</definedName>
    <definedName name="_xlnm.Print_Area" localSheetId="1">FEBRERO!$A$1:$P$43</definedName>
    <definedName name="_xlnm.Print_Area" localSheetId="6">JULIO!$A$1:$P$56</definedName>
    <definedName name="_xlnm.Print_Area" localSheetId="5">JUNIO!$A$1:$P$56</definedName>
    <definedName name="_xlnm.Print_Area" localSheetId="2">MARZO!$A$1:$P$47</definedName>
    <definedName name="_xlnm.Print_Area" localSheetId="4">MAYO!$A$1:$P$55</definedName>
    <definedName name="_xlnm.Print_Area" localSheetId="10">NOVIEMBRE!$A$1:$P$59</definedName>
    <definedName name="_xlnm.Print_Area" localSheetId="9">OCTUBRE!$A$1:$P$56</definedName>
    <definedName name="_xlnm.Print_Area" localSheetId="8">SEPTIEMBRE!$A$1:$Q$56</definedName>
    <definedName name="_xlnm.Print_Titles" localSheetId="3">ABRIL!$1:$6</definedName>
    <definedName name="_xlnm.Print_Titles" localSheetId="7">AGOSTO!$1:$6</definedName>
    <definedName name="_xlnm.Print_Titles" localSheetId="11">DICIEMBRE!$1:$6</definedName>
    <definedName name="_xlnm.Print_Titles" localSheetId="12">'DICIEMBRE Resumen'!$1:$6</definedName>
    <definedName name="_xlnm.Print_Titles" localSheetId="1">FEBRERO!$1:$6</definedName>
    <definedName name="_xlnm.Print_Titles" localSheetId="6">JULIO!$1:$6</definedName>
    <definedName name="_xlnm.Print_Titles" localSheetId="5">JUNIO!$1:$6</definedName>
    <definedName name="_xlnm.Print_Titles" localSheetId="2">MARZO!$1:$6</definedName>
    <definedName name="_xlnm.Print_Titles" localSheetId="4">MAYO!$1:$6</definedName>
    <definedName name="_xlnm.Print_Titles" localSheetId="10">NOVIEMBRE!$1:$6</definedName>
    <definedName name="_xlnm.Print_Titles" localSheetId="9">OCTUBRE!$1:$6</definedName>
    <definedName name="_xlnm.Print_Titles" localSheetId="8">SEPTIEMBRE!$1:$6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6" l="1"/>
  <c r="R11" i="16"/>
  <c r="P23" i="16"/>
  <c r="P45" i="16"/>
  <c r="P46" i="16"/>
  <c r="P47" i="16"/>
  <c r="O47" i="16"/>
  <c r="L47" i="16"/>
  <c r="L44" i="16" s="1"/>
  <c r="O46" i="16"/>
  <c r="O45" i="16"/>
  <c r="N44" i="16"/>
  <c r="K44" i="16"/>
  <c r="M43" i="16"/>
  <c r="P43" i="16" s="1"/>
  <c r="N42" i="16"/>
  <c r="O42" i="16" s="1"/>
  <c r="N41" i="16"/>
  <c r="M41" i="16"/>
  <c r="O41" i="16" s="1"/>
  <c r="N38" i="16"/>
  <c r="O38" i="16" s="1"/>
  <c r="N36" i="16"/>
  <c r="O36" i="16" s="1"/>
  <c r="N35" i="16"/>
  <c r="M35" i="16"/>
  <c r="N34" i="16"/>
  <c r="M33" i="16"/>
  <c r="M31" i="16"/>
  <c r="O31" i="16" s="1"/>
  <c r="M30" i="16"/>
  <c r="M29" i="16" s="1"/>
  <c r="L29" i="16"/>
  <c r="K29" i="16"/>
  <c r="M28" i="16"/>
  <c r="O28" i="16" s="1"/>
  <c r="O27" i="16" s="1"/>
  <c r="N27" i="16"/>
  <c r="M27" i="16"/>
  <c r="N26" i="16"/>
  <c r="O26" i="16" s="1"/>
  <c r="M25" i="16"/>
  <c r="O25" i="16" s="1"/>
  <c r="N23" i="16"/>
  <c r="O23" i="16" s="1"/>
  <c r="M22" i="16"/>
  <c r="M21" i="16"/>
  <c r="N20" i="16"/>
  <c r="O20" i="16" s="1"/>
  <c r="M17" i="16"/>
  <c r="M16" i="16"/>
  <c r="N15" i="16"/>
  <c r="O15" i="16" s="1"/>
  <c r="M14" i="16"/>
  <c r="N13" i="16"/>
  <c r="O13" i="16" s="1"/>
  <c r="L11" i="16"/>
  <c r="L10" i="16" s="1"/>
  <c r="K10" i="16"/>
  <c r="K9" i="16"/>
  <c r="K8" i="16" s="1"/>
  <c r="K7" i="16" s="1"/>
  <c r="K48" i="16" s="1"/>
  <c r="N14" i="16" l="1"/>
  <c r="P14" i="16" s="1"/>
  <c r="N19" i="16"/>
  <c r="N18" i="16" s="1"/>
  <c r="P18" i="16" s="1"/>
  <c r="N22" i="16"/>
  <c r="O22" i="16" s="1"/>
  <c r="N33" i="16"/>
  <c r="N37" i="16"/>
  <c r="O37" i="16" s="1"/>
  <c r="O33" i="16"/>
  <c r="N40" i="16"/>
  <c r="N39" i="16" s="1"/>
  <c r="O39" i="16" s="1"/>
  <c r="M44" i="16"/>
  <c r="O44" i="16" s="1"/>
  <c r="P38" i="16"/>
  <c r="P20" i="16"/>
  <c r="N24" i="16"/>
  <c r="O24" i="16" s="1"/>
  <c r="P35" i="16"/>
  <c r="P26" i="16"/>
  <c r="P15" i="16"/>
  <c r="M10" i="16"/>
  <c r="O40" i="16"/>
  <c r="O35" i="16"/>
  <c r="P31" i="16"/>
  <c r="P25" i="16"/>
  <c r="P28" i="16"/>
  <c r="P22" i="16"/>
  <c r="L9" i="16"/>
  <c r="L8" i="16" s="1"/>
  <c r="L7" i="16" s="1"/>
  <c r="L48" i="16" s="1"/>
  <c r="M48" i="16" s="1"/>
  <c r="M11" i="16"/>
  <c r="O12" i="16"/>
  <c r="O18" i="16"/>
  <c r="N21" i="16"/>
  <c r="O30" i="16"/>
  <c r="O34" i="16"/>
  <c r="O19" i="16"/>
  <c r="O49" i="14"/>
  <c r="O50" i="15"/>
  <c r="O49" i="15"/>
  <c r="M46" i="15"/>
  <c r="M9" i="16" l="1"/>
  <c r="M8" i="16" s="1"/>
  <c r="M7" i="16" s="1"/>
  <c r="P10" i="16"/>
  <c r="O14" i="16"/>
  <c r="P19" i="16"/>
  <c r="P44" i="16"/>
  <c r="N32" i="16"/>
  <c r="O32" i="16" s="1"/>
  <c r="N29" i="16"/>
  <c r="P29" i="16" s="1"/>
  <c r="O21" i="16"/>
  <c r="P21" i="16"/>
  <c r="N17" i="16"/>
  <c r="P17" i="16" s="1"/>
  <c r="R58" i="14"/>
  <c r="N46" i="15"/>
  <c r="K46" i="15"/>
  <c r="O7" i="16" l="1"/>
  <c r="P7" i="16"/>
  <c r="O29" i="16"/>
  <c r="N16" i="16"/>
  <c r="P16" i="16" s="1"/>
  <c r="O17" i="16"/>
  <c r="L9" i="15"/>
  <c r="L10" i="15"/>
  <c r="M10" i="15" s="1"/>
  <c r="M11" i="15"/>
  <c r="M18" i="15"/>
  <c r="M32" i="15"/>
  <c r="N14" i="15"/>
  <c r="N22" i="15"/>
  <c r="O22" i="15" s="1"/>
  <c r="N25" i="15"/>
  <c r="N24" i="15" s="1"/>
  <c r="N23" i="15" s="1"/>
  <c r="O27" i="15"/>
  <c r="N26" i="15"/>
  <c r="M27" i="15"/>
  <c r="N36" i="15"/>
  <c r="N37" i="15"/>
  <c r="N40" i="15"/>
  <c r="N43" i="15"/>
  <c r="O43" i="15" s="1"/>
  <c r="O42" i="15" s="1"/>
  <c r="N44" i="15"/>
  <c r="O48" i="15"/>
  <c r="O47" i="15"/>
  <c r="M45" i="15"/>
  <c r="O44" i="15"/>
  <c r="M43" i="15"/>
  <c r="N42" i="15"/>
  <c r="N41" i="15" s="1"/>
  <c r="O41" i="15" s="1"/>
  <c r="N39" i="15"/>
  <c r="O39" i="15" s="1"/>
  <c r="N38" i="15"/>
  <c r="O38" i="15" s="1"/>
  <c r="M37" i="15"/>
  <c r="O37" i="15" s="1"/>
  <c r="O36" i="15"/>
  <c r="M35" i="15"/>
  <c r="M33" i="15"/>
  <c r="O33" i="15" s="1"/>
  <c r="O32" i="15"/>
  <c r="M31" i="15"/>
  <c r="L31" i="15"/>
  <c r="K31" i="15"/>
  <c r="M30" i="15"/>
  <c r="O30" i="15" s="1"/>
  <c r="O29" i="15" s="1"/>
  <c r="N29" i="15"/>
  <c r="M29" i="15"/>
  <c r="O28" i="15"/>
  <c r="N28" i="15"/>
  <c r="O26" i="15"/>
  <c r="M24" i="15"/>
  <c r="M23" i="15"/>
  <c r="M19" i="15"/>
  <c r="O17" i="15"/>
  <c r="N17" i="15"/>
  <c r="N15" i="15" s="1"/>
  <c r="O15" i="15" s="1"/>
  <c r="N16" i="15"/>
  <c r="M16" i="15"/>
  <c r="O16" i="15" s="1"/>
  <c r="N12" i="15"/>
  <c r="O13" i="15"/>
  <c r="N13" i="15"/>
  <c r="L11" i="15"/>
  <c r="K10" i="15"/>
  <c r="K9" i="15" s="1"/>
  <c r="K8" i="15" s="1"/>
  <c r="K7" i="15" s="1"/>
  <c r="K50" i="15" s="1"/>
  <c r="O16" i="16" l="1"/>
  <c r="N11" i="16"/>
  <c r="P11" i="16" s="1"/>
  <c r="M9" i="15"/>
  <c r="M8" i="15" s="1"/>
  <c r="M7" i="15" s="1"/>
  <c r="N21" i="15"/>
  <c r="N20" i="15" s="1"/>
  <c r="O20" i="15" s="1"/>
  <c r="O25" i="15"/>
  <c r="O24" i="15"/>
  <c r="N34" i="15"/>
  <c r="N31" i="15" s="1"/>
  <c r="O31" i="15" s="1"/>
  <c r="N19" i="15"/>
  <c r="N18" i="15" s="1"/>
  <c r="O34" i="15"/>
  <c r="O12" i="15"/>
  <c r="N11" i="15"/>
  <c r="N10" i="15" s="1"/>
  <c r="O18" i="15"/>
  <c r="O19" i="15"/>
  <c r="O23" i="15"/>
  <c r="L8" i="15"/>
  <c r="L7" i="15" s="1"/>
  <c r="O14" i="15"/>
  <c r="N35" i="15"/>
  <c r="O35" i="15" s="1"/>
  <c r="O40" i="15"/>
  <c r="O21" i="15"/>
  <c r="O11" i="16" l="1"/>
  <c r="N9" i="15"/>
  <c r="N8" i="15" s="1"/>
  <c r="N7" i="15" s="1"/>
  <c r="N50" i="15" s="1"/>
  <c r="O10" i="15"/>
  <c r="O11" i="15"/>
  <c r="O29" i="14"/>
  <c r="O28" i="14"/>
  <c r="N28" i="14"/>
  <c r="M29" i="14"/>
  <c r="N14" i="14"/>
  <c r="N17" i="14"/>
  <c r="N22" i="14"/>
  <c r="N25" i="14"/>
  <c r="M28" i="14"/>
  <c r="N35" i="14"/>
  <c r="N36" i="14"/>
  <c r="N39" i="14"/>
  <c r="N9" i="16" l="1"/>
  <c r="P9" i="16" s="1"/>
  <c r="O10" i="16"/>
  <c r="N26" i="14"/>
  <c r="O26" i="14" s="1"/>
  <c r="O9" i="15"/>
  <c r="O8" i="15" s="1"/>
  <c r="O7" i="15" s="1"/>
  <c r="N42" i="14"/>
  <c r="N43" i="14"/>
  <c r="O43" i="14" s="1"/>
  <c r="O48" i="14"/>
  <c r="O47" i="14"/>
  <c r="O46" i="14"/>
  <c r="N45" i="14"/>
  <c r="L45" i="14"/>
  <c r="M45" i="14" s="1"/>
  <c r="O45" i="14" s="1"/>
  <c r="K45" i="14"/>
  <c r="M44" i="14"/>
  <c r="N41" i="14"/>
  <c r="N40" i="14" s="1"/>
  <c r="O40" i="14" s="1"/>
  <c r="M42" i="14"/>
  <c r="O42" i="14" s="1"/>
  <c r="O39" i="14"/>
  <c r="N38" i="14"/>
  <c r="O38" i="14" s="1"/>
  <c r="N37" i="14"/>
  <c r="O37" i="14" s="1"/>
  <c r="O36" i="14"/>
  <c r="M36" i="14"/>
  <c r="M34" i="14"/>
  <c r="M32" i="14"/>
  <c r="O32" i="14" s="1"/>
  <c r="O31" i="14"/>
  <c r="M30" i="14"/>
  <c r="L30" i="14"/>
  <c r="K30" i="14"/>
  <c r="K9" i="14" s="1"/>
  <c r="K8" i="14" s="1"/>
  <c r="K7" i="14" s="1"/>
  <c r="K49" i="14" s="1"/>
  <c r="N27" i="14"/>
  <c r="O27" i="14" s="1"/>
  <c r="O25" i="14"/>
  <c r="N24" i="14"/>
  <c r="O24" i="14" s="1"/>
  <c r="M24" i="14"/>
  <c r="M23" i="14"/>
  <c r="O22" i="14"/>
  <c r="N21" i="14"/>
  <c r="N20" i="14" s="1"/>
  <c r="M19" i="14"/>
  <c r="M18" i="14"/>
  <c r="O17" i="14"/>
  <c r="N16" i="14"/>
  <c r="O16" i="14" s="1"/>
  <c r="M16" i="14"/>
  <c r="N15" i="14"/>
  <c r="O15" i="14" s="1"/>
  <c r="O14" i="14"/>
  <c r="N13" i="14"/>
  <c r="N12" i="14" s="1"/>
  <c r="L11" i="14"/>
  <c r="L10" i="14" s="1"/>
  <c r="M10" i="14"/>
  <c r="M9" i="14" s="1"/>
  <c r="K10" i="14"/>
  <c r="N8" i="16" l="1"/>
  <c r="O9" i="16"/>
  <c r="O8" i="16" s="1"/>
  <c r="O48" i="16" s="1"/>
  <c r="M49" i="14"/>
  <c r="L9" i="14"/>
  <c r="L8" i="14" s="1"/>
  <c r="L7" i="14" s="1"/>
  <c r="L49" i="14" s="1"/>
  <c r="M11" i="14"/>
  <c r="N23" i="14"/>
  <c r="N33" i="14"/>
  <c r="O33" i="14" s="1"/>
  <c r="O21" i="14"/>
  <c r="O23" i="14"/>
  <c r="O41" i="14"/>
  <c r="O12" i="14"/>
  <c r="N30" i="14"/>
  <c r="O30" i="14" s="1"/>
  <c r="M8" i="14"/>
  <c r="M7" i="14" s="1"/>
  <c r="N19" i="14"/>
  <c r="O20" i="14"/>
  <c r="O13" i="14"/>
  <c r="O35" i="14"/>
  <c r="N34" i="14"/>
  <c r="O34" i="14" s="1"/>
  <c r="O18" i="13"/>
  <c r="L43" i="13"/>
  <c r="M43" i="13" s="1"/>
  <c r="K43" i="13"/>
  <c r="P8" i="16" l="1"/>
  <c r="O19" i="14"/>
  <c r="N18" i="14"/>
  <c r="N43" i="13"/>
  <c r="N48" i="16" l="1"/>
  <c r="P48" i="16" s="1"/>
  <c r="O18" i="14"/>
  <c r="N11" i="14"/>
  <c r="N14" i="13"/>
  <c r="N17" i="13"/>
  <c r="N22" i="13"/>
  <c r="N25" i="13"/>
  <c r="N33" i="13"/>
  <c r="N34" i="13"/>
  <c r="N37" i="13"/>
  <c r="N40" i="13"/>
  <c r="N41" i="13"/>
  <c r="N10" i="14" l="1"/>
  <c r="O11" i="14"/>
  <c r="N31" i="13"/>
  <c r="N32" i="13"/>
  <c r="M46" i="13"/>
  <c r="O46" i="13" s="1"/>
  <c r="M45" i="13"/>
  <c r="O45" i="13" s="1"/>
  <c r="M44" i="13"/>
  <c r="O44" i="13" s="1"/>
  <c r="M42" i="13"/>
  <c r="O41" i="13"/>
  <c r="M40" i="13"/>
  <c r="O40" i="13" s="1"/>
  <c r="N39" i="13"/>
  <c r="N38" i="13" s="1"/>
  <c r="O38" i="13" s="1"/>
  <c r="N36" i="13"/>
  <c r="O36" i="13" s="1"/>
  <c r="N35" i="13"/>
  <c r="O35" i="13" s="1"/>
  <c r="M34" i="13"/>
  <c r="O34" i="13" s="1"/>
  <c r="O33" i="13"/>
  <c r="M32" i="13"/>
  <c r="M30" i="13"/>
  <c r="O30" i="13" s="1"/>
  <c r="O29" i="13"/>
  <c r="M28" i="13"/>
  <c r="L28" i="13"/>
  <c r="K28" i="13"/>
  <c r="N27" i="13"/>
  <c r="N26" i="13" s="1"/>
  <c r="O26" i="13" s="1"/>
  <c r="N24" i="13"/>
  <c r="N23" i="13" s="1"/>
  <c r="O23" i="13" s="1"/>
  <c r="M24" i="13"/>
  <c r="M23" i="13"/>
  <c r="N21" i="13"/>
  <c r="M19" i="13"/>
  <c r="M18" i="13"/>
  <c r="N15" i="13"/>
  <c r="O15" i="13" s="1"/>
  <c r="M16" i="13"/>
  <c r="O14" i="13"/>
  <c r="N13" i="13"/>
  <c r="O13" i="13" s="1"/>
  <c r="N12" i="13"/>
  <c r="L11" i="13"/>
  <c r="M11" i="13" s="1"/>
  <c r="K10" i="13"/>
  <c r="M10" i="13" s="1"/>
  <c r="N9" i="14" l="1"/>
  <c r="O10" i="14"/>
  <c r="N11" i="13"/>
  <c r="N28" i="13"/>
  <c r="O28" i="13" s="1"/>
  <c r="L10" i="13"/>
  <c r="L9" i="13" s="1"/>
  <c r="L8" i="13" s="1"/>
  <c r="L7" i="13" s="1"/>
  <c r="L47" i="13" s="1"/>
  <c r="O43" i="13"/>
  <c r="O24" i="13"/>
  <c r="O39" i="13"/>
  <c r="O21" i="13"/>
  <c r="N20" i="13"/>
  <c r="N19" i="13" s="1"/>
  <c r="N18" i="13" s="1"/>
  <c r="M9" i="13"/>
  <c r="O17" i="13"/>
  <c r="O22" i="13"/>
  <c r="O25" i="13"/>
  <c r="O27" i="13"/>
  <c r="O32" i="13"/>
  <c r="O37" i="13"/>
  <c r="K9" i="13"/>
  <c r="K8" i="13" s="1"/>
  <c r="K7" i="13" s="1"/>
  <c r="K47" i="13" s="1"/>
  <c r="O12" i="13"/>
  <c r="N16" i="13"/>
  <c r="O16" i="13" s="1"/>
  <c r="P43" i="11"/>
  <c r="P47" i="11"/>
  <c r="N8" i="14" l="1"/>
  <c r="N7" i="14" s="1"/>
  <c r="N49" i="14" s="1"/>
  <c r="O9" i="14"/>
  <c r="O8" i="14" s="1"/>
  <c r="O7" i="14" s="1"/>
  <c r="M8" i="13"/>
  <c r="M7" i="13" s="1"/>
  <c r="M47" i="13"/>
  <c r="O20" i="13"/>
  <c r="O31" i="13"/>
  <c r="P9" i="11"/>
  <c r="P28" i="11"/>
  <c r="P38" i="11"/>
  <c r="P8" i="11"/>
  <c r="P7" i="11" s="1"/>
  <c r="P39" i="11"/>
  <c r="O47" i="11"/>
  <c r="M44" i="11"/>
  <c r="O7" i="11"/>
  <c r="O8" i="11"/>
  <c r="O9" i="11"/>
  <c r="M46" i="12"/>
  <c r="O46" i="12" s="1"/>
  <c r="M45" i="12"/>
  <c r="O45" i="12" s="1"/>
  <c r="M44" i="12"/>
  <c r="O44" i="12" s="1"/>
  <c r="N43" i="12"/>
  <c r="L43" i="12"/>
  <c r="M43" i="12" s="1"/>
  <c r="O43" i="12" s="1"/>
  <c r="K43" i="12"/>
  <c r="M42" i="12"/>
  <c r="O42" i="12" s="1"/>
  <c r="O41" i="12"/>
  <c r="N41" i="12"/>
  <c r="N40" i="12"/>
  <c r="N39" i="12" s="1"/>
  <c r="M40" i="12"/>
  <c r="O40" i="12" s="1"/>
  <c r="N37" i="12"/>
  <c r="O37" i="12" s="1"/>
  <c r="N36" i="12"/>
  <c r="O36" i="12" s="1"/>
  <c r="N35" i="12"/>
  <c r="O35" i="12" s="1"/>
  <c r="N34" i="12"/>
  <c r="O34" i="12" s="1"/>
  <c r="M34" i="12"/>
  <c r="N33" i="12"/>
  <c r="N32" i="12" s="1"/>
  <c r="O32" i="12" s="1"/>
  <c r="M32" i="12"/>
  <c r="N31" i="12"/>
  <c r="M30" i="12"/>
  <c r="O30" i="12" s="1"/>
  <c r="O29" i="12"/>
  <c r="M28" i="12"/>
  <c r="L28" i="12"/>
  <c r="K28" i="12"/>
  <c r="K9" i="12" s="1"/>
  <c r="K8" i="12" s="1"/>
  <c r="K7" i="12" s="1"/>
  <c r="K47" i="12" s="1"/>
  <c r="N27" i="12"/>
  <c r="O27" i="12" s="1"/>
  <c r="N26" i="12"/>
  <c r="O26" i="12" s="1"/>
  <c r="N25" i="12"/>
  <c r="O25" i="12" s="1"/>
  <c r="N24" i="12"/>
  <c r="O24" i="12" s="1"/>
  <c r="M24" i="12"/>
  <c r="M23" i="12"/>
  <c r="N22" i="12"/>
  <c r="O22" i="12" s="1"/>
  <c r="N21" i="12"/>
  <c r="N20" i="12" s="1"/>
  <c r="M19" i="12"/>
  <c r="M18" i="12"/>
  <c r="N17" i="12"/>
  <c r="O17" i="12" s="1"/>
  <c r="N16" i="12"/>
  <c r="O16" i="12" s="1"/>
  <c r="M16" i="12"/>
  <c r="N15" i="12"/>
  <c r="O15" i="12" s="1"/>
  <c r="O14" i="12"/>
  <c r="N14" i="12"/>
  <c r="O13" i="12"/>
  <c r="N12" i="12"/>
  <c r="L11" i="12"/>
  <c r="M11" i="12" s="1"/>
  <c r="M10" i="12"/>
  <c r="L10" i="12"/>
  <c r="L9" i="12" s="1"/>
  <c r="L8" i="12" s="1"/>
  <c r="L7" i="12" s="1"/>
  <c r="L47" i="12" s="1"/>
  <c r="K10" i="12"/>
  <c r="M9" i="12"/>
  <c r="M8" i="12" s="1"/>
  <c r="O19" i="13" l="1"/>
  <c r="M7" i="12"/>
  <c r="O23" i="12"/>
  <c r="O39" i="12"/>
  <c r="N38" i="12"/>
  <c r="O38" i="12" s="1"/>
  <c r="N19" i="12"/>
  <c r="O20" i="12"/>
  <c r="M47" i="12"/>
  <c r="O12" i="12"/>
  <c r="O21" i="12"/>
  <c r="N23" i="12"/>
  <c r="O31" i="12"/>
  <c r="O33" i="12"/>
  <c r="O19" i="12" l="1"/>
  <c r="N18" i="12"/>
  <c r="N28" i="12"/>
  <c r="O28" i="12" s="1"/>
  <c r="N10" i="13" l="1"/>
  <c r="N9" i="13" s="1"/>
  <c r="O9" i="13" s="1"/>
  <c r="O11" i="13"/>
  <c r="N11" i="12"/>
  <c r="O18" i="12"/>
  <c r="O10" i="13" l="1"/>
  <c r="N10" i="12"/>
  <c r="O11" i="12"/>
  <c r="O8" i="13" l="1"/>
  <c r="O7" i="13" s="1"/>
  <c r="O47" i="13" s="1"/>
  <c r="N8" i="13"/>
  <c r="N7" i="13" s="1"/>
  <c r="N47" i="13" s="1"/>
  <c r="N9" i="12"/>
  <c r="O10" i="12"/>
  <c r="N8" i="12" l="1"/>
  <c r="O9" i="12"/>
  <c r="N7" i="12" l="1"/>
  <c r="O8" i="12"/>
  <c r="N47" i="12" l="1"/>
  <c r="O47" i="12" s="1"/>
  <c r="O7" i="12"/>
  <c r="N34" i="11" l="1"/>
  <c r="N35" i="11" l="1"/>
  <c r="N28" i="11"/>
  <c r="O39" i="11"/>
  <c r="P42" i="11"/>
  <c r="M46" i="11"/>
  <c r="P46" i="11" s="1"/>
  <c r="M45" i="11"/>
  <c r="P45" i="11" s="1"/>
  <c r="P44" i="11"/>
  <c r="N43" i="11"/>
  <c r="L43" i="11"/>
  <c r="K43" i="11"/>
  <c r="M43" i="11" s="1"/>
  <c r="M42" i="11"/>
  <c r="P41" i="11"/>
  <c r="N41" i="11"/>
  <c r="N40" i="11"/>
  <c r="M40" i="11"/>
  <c r="P40" i="11" s="1"/>
  <c r="N39" i="11"/>
  <c r="N38" i="11" s="1"/>
  <c r="N37" i="11"/>
  <c r="N36" i="11" s="1"/>
  <c r="P35" i="11"/>
  <c r="M34" i="11"/>
  <c r="P34" i="11" s="1"/>
  <c r="P33" i="11"/>
  <c r="N33" i="11"/>
  <c r="M32" i="11"/>
  <c r="M30" i="11"/>
  <c r="P30" i="11" s="1"/>
  <c r="P29" i="11"/>
  <c r="M28" i="11"/>
  <c r="L28" i="11"/>
  <c r="K28" i="11"/>
  <c r="N27" i="11"/>
  <c r="N26" i="11" s="1"/>
  <c r="P26" i="11" s="1"/>
  <c r="N25" i="11"/>
  <c r="N24" i="11" s="1"/>
  <c r="N23" i="11" s="1"/>
  <c r="P23" i="11" s="1"/>
  <c r="M24" i="11"/>
  <c r="M23" i="11"/>
  <c r="N22" i="11"/>
  <c r="N21" i="11" s="1"/>
  <c r="M19" i="11"/>
  <c r="M18" i="11"/>
  <c r="N17" i="11"/>
  <c r="N15" i="11" s="1"/>
  <c r="P15" i="11" s="1"/>
  <c r="M16" i="11"/>
  <c r="N14" i="11"/>
  <c r="P14" i="11" s="1"/>
  <c r="P13" i="11"/>
  <c r="N13" i="11"/>
  <c r="N12" i="11"/>
  <c r="L11" i="11"/>
  <c r="M11" i="11" s="1"/>
  <c r="L10" i="11"/>
  <c r="L9" i="11" s="1"/>
  <c r="L8" i="11" s="1"/>
  <c r="L7" i="11" s="1"/>
  <c r="L47" i="11" s="1"/>
  <c r="K10" i="11"/>
  <c r="K9" i="11" s="1"/>
  <c r="K8" i="11" s="1"/>
  <c r="K7" i="11" s="1"/>
  <c r="K47" i="11" s="1"/>
  <c r="M47" i="11" s="1"/>
  <c r="O38" i="11" l="1"/>
  <c r="P24" i="11"/>
  <c r="N20" i="11"/>
  <c r="P21" i="11"/>
  <c r="P36" i="11"/>
  <c r="N31" i="11"/>
  <c r="P17" i="11"/>
  <c r="P22" i="11"/>
  <c r="P25" i="11"/>
  <c r="P27" i="11"/>
  <c r="N32" i="11"/>
  <c r="P32" i="11" s="1"/>
  <c r="P37" i="11"/>
  <c r="M10" i="11"/>
  <c r="P12" i="11"/>
  <c r="N16" i="11"/>
  <c r="P16" i="11" s="1"/>
  <c r="P31" i="11" l="1"/>
  <c r="M9" i="11"/>
  <c r="N19" i="11"/>
  <c r="P20" i="11"/>
  <c r="M8" i="11" l="1"/>
  <c r="N18" i="11"/>
  <c r="P19" i="11"/>
  <c r="R12" i="8"/>
  <c r="P18" i="11" l="1"/>
  <c r="N11" i="11"/>
  <c r="M7" i="11"/>
  <c r="R11" i="8"/>
  <c r="R9" i="8"/>
  <c r="R8" i="8"/>
  <c r="R7" i="8"/>
  <c r="N10" i="11" l="1"/>
  <c r="P11" i="11"/>
  <c r="O47" i="9"/>
  <c r="N47" i="9"/>
  <c r="M47" i="9"/>
  <c r="L47" i="9"/>
  <c r="K47" i="9"/>
  <c r="N9" i="11" l="1"/>
  <c r="P10" i="11"/>
  <c r="N9" i="9"/>
  <c r="N8" i="11" l="1"/>
  <c r="N14" i="9"/>
  <c r="N17" i="9"/>
  <c r="N22" i="9"/>
  <c r="N25" i="9"/>
  <c r="N33" i="9"/>
  <c r="N34" i="9"/>
  <c r="N37" i="9"/>
  <c r="N7" i="11" l="1"/>
  <c r="M46" i="9"/>
  <c r="M45" i="9"/>
  <c r="O45" i="9" s="1"/>
  <c r="O44" i="9"/>
  <c r="M44" i="9"/>
  <c r="N43" i="9"/>
  <c r="L43" i="9"/>
  <c r="M43" i="9" s="1"/>
  <c r="O43" i="9" s="1"/>
  <c r="K43" i="9"/>
  <c r="M42" i="9"/>
  <c r="O42" i="9" s="1"/>
  <c r="N41" i="9"/>
  <c r="O41" i="9" s="1"/>
  <c r="O40" i="9"/>
  <c r="N40" i="9"/>
  <c r="M40" i="9"/>
  <c r="N39" i="9"/>
  <c r="O39" i="9" s="1"/>
  <c r="O37" i="9"/>
  <c r="N36" i="9"/>
  <c r="O36" i="9" s="1"/>
  <c r="O35" i="9"/>
  <c r="N35" i="9"/>
  <c r="M34" i="9"/>
  <c r="O34" i="9" s="1"/>
  <c r="O33" i="9"/>
  <c r="N32" i="9"/>
  <c r="O32" i="9" s="1"/>
  <c r="M32" i="9"/>
  <c r="N31" i="9"/>
  <c r="O31" i="9" s="1"/>
  <c r="O30" i="9"/>
  <c r="M30" i="9"/>
  <c r="O29" i="9"/>
  <c r="M28" i="9"/>
  <c r="L28" i="9"/>
  <c r="K28" i="9"/>
  <c r="K9" i="9" s="1"/>
  <c r="K8" i="9" s="1"/>
  <c r="K7" i="9" s="1"/>
  <c r="N27" i="9"/>
  <c r="O27" i="9" s="1"/>
  <c r="N26" i="9"/>
  <c r="O26" i="9" s="1"/>
  <c r="O25" i="9"/>
  <c r="N24" i="9"/>
  <c r="N23" i="9" s="1"/>
  <c r="M24" i="9"/>
  <c r="M23" i="9"/>
  <c r="O22" i="9"/>
  <c r="N21" i="9"/>
  <c r="N20" i="9" s="1"/>
  <c r="M19" i="9"/>
  <c r="M18" i="9"/>
  <c r="O17" i="9"/>
  <c r="N16" i="9"/>
  <c r="O16" i="9" s="1"/>
  <c r="M16" i="9"/>
  <c r="N15" i="9"/>
  <c r="O15" i="9" s="1"/>
  <c r="O14" i="9"/>
  <c r="O13" i="9"/>
  <c r="N12" i="9"/>
  <c r="L11" i="9"/>
  <c r="L10" i="9" s="1"/>
  <c r="L9" i="9" s="1"/>
  <c r="L8" i="9" s="1"/>
  <c r="L7" i="9" s="1"/>
  <c r="M10" i="9"/>
  <c r="K10" i="9"/>
  <c r="M9" i="9"/>
  <c r="M8" i="9" s="1"/>
  <c r="N47" i="11" l="1"/>
  <c r="O46" i="9"/>
  <c r="O20" i="9"/>
  <c r="N19" i="9"/>
  <c r="M7" i="9"/>
  <c r="O23" i="9"/>
  <c r="M11" i="9"/>
  <c r="O12" i="9"/>
  <c r="O21" i="9"/>
  <c r="O24" i="9"/>
  <c r="N38" i="9"/>
  <c r="R38" i="8"/>
  <c r="R27" i="8"/>
  <c r="R40" i="8"/>
  <c r="N28" i="9" l="1"/>
  <c r="O28" i="9" s="1"/>
  <c r="O38" i="9"/>
  <c r="O19" i="9"/>
  <c r="N18" i="9"/>
  <c r="K47" i="8"/>
  <c r="L47" i="8"/>
  <c r="M47" i="8"/>
  <c r="N47" i="8"/>
  <c r="O47" i="8"/>
  <c r="N11" i="9" l="1"/>
  <c r="O18" i="9"/>
  <c r="M43" i="8"/>
  <c r="M46" i="8"/>
  <c r="N10" i="9" l="1"/>
  <c r="O11" i="9"/>
  <c r="N14" i="8"/>
  <c r="N40" i="8"/>
  <c r="N37" i="8"/>
  <c r="N34" i="8"/>
  <c r="N33" i="8"/>
  <c r="O33" i="8" s="1"/>
  <c r="N25" i="8"/>
  <c r="N24" i="8" s="1"/>
  <c r="N22" i="8"/>
  <c r="N21" i="8" s="1"/>
  <c r="N20" i="8" s="1"/>
  <c r="N17" i="8"/>
  <c r="N15" i="8" s="1"/>
  <c r="N16" i="8"/>
  <c r="N12" i="8"/>
  <c r="O12" i="8" s="1"/>
  <c r="O13" i="8"/>
  <c r="O46" i="8"/>
  <c r="M45" i="8"/>
  <c r="O45" i="8" s="1"/>
  <c r="M44" i="8"/>
  <c r="O44" i="8" s="1"/>
  <c r="N43" i="8"/>
  <c r="L43" i="8"/>
  <c r="O43" i="8" s="1"/>
  <c r="K43" i="8"/>
  <c r="M42" i="8"/>
  <c r="O42" i="8" s="1"/>
  <c r="N41" i="8"/>
  <c r="O41" i="8" s="1"/>
  <c r="N39" i="8"/>
  <c r="M40" i="8"/>
  <c r="O40" i="8" s="1"/>
  <c r="O37" i="8"/>
  <c r="N36" i="8"/>
  <c r="O36" i="8" s="1"/>
  <c r="N35" i="8"/>
  <c r="O35" i="8" s="1"/>
  <c r="M34" i="8"/>
  <c r="M32" i="8"/>
  <c r="O30" i="8"/>
  <c r="M30" i="8"/>
  <c r="O29" i="8"/>
  <c r="M28" i="8"/>
  <c r="L28" i="8"/>
  <c r="K28" i="8"/>
  <c r="O27" i="8"/>
  <c r="N27" i="8"/>
  <c r="O26" i="8"/>
  <c r="N26" i="8"/>
  <c r="O25" i="8"/>
  <c r="M24" i="8"/>
  <c r="M23" i="8"/>
  <c r="M19" i="8"/>
  <c r="M18" i="8"/>
  <c r="M16" i="8"/>
  <c r="O14" i="8"/>
  <c r="L11" i="8"/>
  <c r="M11" i="8" s="1"/>
  <c r="L10" i="8"/>
  <c r="L9" i="8" s="1"/>
  <c r="L8" i="8" s="1"/>
  <c r="L7" i="8" s="1"/>
  <c r="K10" i="8"/>
  <c r="M10" i="8" s="1"/>
  <c r="K9" i="8"/>
  <c r="K8" i="8" s="1"/>
  <c r="K7" i="8" s="1"/>
  <c r="O10" i="9" l="1"/>
  <c r="O34" i="8"/>
  <c r="O24" i="8"/>
  <c r="N23" i="8"/>
  <c r="N19" i="8" s="1"/>
  <c r="N18" i="8" s="1"/>
  <c r="O18" i="8" s="1"/>
  <c r="O22" i="8"/>
  <c r="O16" i="8"/>
  <c r="O17" i="8"/>
  <c r="M9" i="8"/>
  <c r="O20" i="8"/>
  <c r="N38" i="8"/>
  <c r="O38" i="8" s="1"/>
  <c r="O39" i="8"/>
  <c r="O15" i="8"/>
  <c r="O21" i="8"/>
  <c r="N31" i="8"/>
  <c r="N32" i="8"/>
  <c r="O32" i="8" s="1"/>
  <c r="R42" i="7"/>
  <c r="R44" i="7"/>
  <c r="R45" i="7"/>
  <c r="N8" i="9" l="1"/>
  <c r="O9" i="9"/>
  <c r="O23" i="8"/>
  <c r="N11" i="8"/>
  <c r="N10" i="8" s="1"/>
  <c r="O19" i="8"/>
  <c r="N28" i="8"/>
  <c r="O28" i="8" s="1"/>
  <c r="O31" i="8"/>
  <c r="M8" i="8"/>
  <c r="N9" i="7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N7" i="9" l="1"/>
  <c r="O8" i="9"/>
  <c r="O11" i="8"/>
  <c r="N9" i="8"/>
  <c r="O10" i="8"/>
  <c r="M7" i="8"/>
  <c r="N11" i="7"/>
  <c r="N17" i="7"/>
  <c r="N13" i="7"/>
  <c r="N16" i="7"/>
  <c r="N19" i="7"/>
  <c r="N20" i="7"/>
  <c r="N24" i="7"/>
  <c r="N30" i="7"/>
  <c r="R30" i="7"/>
  <c r="O7" i="9" l="1"/>
  <c r="N8" i="8"/>
  <c r="O9" i="8"/>
  <c r="R11" i="7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N7" i="8" l="1"/>
  <c r="O8" i="8"/>
  <c r="M7" i="7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O7" i="8" l="1"/>
  <c r="N10" i="7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  <c r="L49" i="15" l="1"/>
  <c r="L46" i="15" s="1"/>
  <c r="L50" i="15" l="1"/>
  <c r="M50" i="15" s="1"/>
  <c r="O46" i="15"/>
</calcChain>
</file>

<file path=xl/sharedStrings.xml><?xml version="1.0" encoding="utf-8"?>
<sst xmlns="http://schemas.openxmlformats.org/spreadsheetml/2006/main" count="1276" uniqueCount="145">
  <si>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</si>
  <si>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</si>
  <si>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</si>
  <si>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</si>
  <si>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</si>
  <si>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</si>
  <si>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</si>
  <si>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</si>
  <si>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</si>
  <si>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</si>
  <si>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</si>
  <si>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</si>
  <si>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</si>
  <si>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</si>
  <si>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</si>
  <si>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</si>
  <si>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</si>
  <si>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</si>
  <si>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</si>
  <si>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</si>
  <si>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</si>
  <si>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</si>
  <si>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</si>
  <si>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</si>
  <si>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</si>
  <si>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</si>
  <si>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</si>
  <si>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</si>
  <si>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</si>
  <si>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</si>
  <si>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</si>
  <si>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</si>
  <si>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</si>
  <si>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</si>
  <si>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</si>
  <si>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</si>
  <si>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</si>
  <si>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</si>
  <si>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</si>
  <si>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</si>
  <si>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</si>
  <si>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</si>
  <si>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</si>
  <si>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</si>
  <si>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</si>
  <si>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</si>
  <si>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</si>
  <si>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</si>
  <si>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</si>
  <si>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</si>
  <si>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</si>
  <si>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</si>
  <si>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</si>
  <si>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</si>
  <si>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</si>
  <si>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</si>
  <si>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</si>
  <si>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</si>
  <si>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</si>
  <si>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</si>
  <si>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</si>
  <si>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</si>
  <si>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</si>
  <si>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</si>
  <si>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</si>
  <si>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</si>
  <si>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</si>
  <si>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</si>
  <si>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</si>
  <si>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</si>
  <si>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</si>
  <si>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</si>
  <si>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</si>
  <si>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</si>
  <si>
    <t>JUNIO</t>
  </si>
  <si>
    <t>PEAJES</t>
  </si>
  <si>
    <t>APORTES DE LA NACION(*)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</si>
  <si>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CONTRACREDITO (REDUJÒ)  EL AFORO  INICIAL CON APORTES NACION - INVERSION, EN LA SUMA DE $ 185.095.000.000. ESTOS APORTES FUERON ACREDITADOS AL MINISTERIO DE TRANSPORTE Y AL INVIAS.</t>
    </r>
  </si>
  <si>
    <t>JULIO</t>
  </si>
  <si>
    <t>AGOSTO</t>
  </si>
  <si>
    <t>DEVOLUCIONES PAGADAS ACUMULADAS</t>
  </si>
  <si>
    <t>3026746,96+</t>
  </si>
  <si>
    <t>SEPTIEMBRE</t>
  </si>
  <si>
    <t>OCTUBRE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</si>
  <si>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CONTRACREDITÓ (REDUJÒ)  EL AFORO  INICIAL CON APORTES NACION - INVERSION, EN LA SUMA DE $ 185.095.000.000. ESTOS APORTES FUERON ACREDITADOS AL MINISTERIO DE TRANSPORTE Y AL INVIAS.</t>
    </r>
  </si>
  <si>
    <t>NOVIEMBRE</t>
  </si>
  <si>
    <t>TRANSFERENCIAS DE OTRAS UNIDADES DE GOBIERNO</t>
  </si>
  <si>
    <t>OTROS UNIDADES DE GOBIERNO</t>
  </si>
  <si>
    <t>DICIEMBRE</t>
  </si>
  <si>
    <t>INDEMNIZACIONES RELACIONADAS CON SEGUROS NO DE VIDA</t>
  </si>
  <si>
    <t>APORTES DE LA NACION(*)(**)</t>
  </si>
  <si>
    <t>RECURSOS PROPIOS DE ESTABLECIMIENTOS PÚBLICOS (**)</t>
  </si>
  <si>
    <r>
      <t>(**) MEDIANTE DECRETO 2412 DEL 31 DE DICIEMBRE DE 2019 "</t>
    </r>
    <r>
      <rPr>
        <i/>
        <sz val="10"/>
        <rFont val="Calibri"/>
        <family val="2"/>
        <scheme val="minor"/>
      </rPr>
      <t xml:space="preserve">POR EL CUAL SE REDUCEN UNAS APROPIACIONES EN EL PRESUPUESTO GENERAL DE LA NACIÓN DE LA VIGENCIA FISCAL DE 2019 Y SE DICTAN OTRAS DISPOSICIONES" </t>
    </r>
    <r>
      <rPr>
        <sz val="10"/>
        <rFont val="Calibri"/>
        <family val="2"/>
        <scheme val="minor"/>
      </rPr>
      <t>A LA AGENCIA NACIONAL DE INFRAESTRUCTURA SE LE RECORTO RECURSOS PROPIOS LA SUMA DE $ 2.121.344.867. Y CON  APORTES NACIÓN - INVERSION, EL VALOR DE $ 38.241.213.333.</t>
    </r>
  </si>
  <si>
    <t>AFORO
DEFINITIVO
( 1 )</t>
  </si>
  <si>
    <t>% DE REACUDO</t>
  </si>
  <si>
    <t>INFORME DE EJECUCION DE INGRESOS A 31 DE DICIEMBRE DE 2019</t>
  </si>
  <si>
    <r>
      <t xml:space="preserve">TASAS Y DERECHOS ADMINISTRATIVOS </t>
    </r>
    <r>
      <rPr>
        <sz val="11"/>
        <color rgb="FF000000"/>
        <rFont val="Calibri"/>
        <family val="2"/>
        <scheme val="minor"/>
      </rPr>
      <t>( Drumon y Peajes)</t>
    </r>
  </si>
  <si>
    <r>
      <t xml:space="preserve">MULTAS, SANCIONES E INTERESES DE MORA </t>
    </r>
    <r>
      <rPr>
        <sz val="11"/>
        <color rgb="FF000000"/>
        <rFont val="Calibri"/>
        <family val="2"/>
        <scheme val="minor"/>
      </rPr>
      <t>(Sanciones Contractuales)</t>
    </r>
  </si>
  <si>
    <r>
      <t>VENTA DE BIENES Y SERVICIOS</t>
    </r>
    <r>
      <rPr>
        <sz val="11"/>
        <color rgb="FF000000"/>
        <rFont val="Calibri"/>
        <family val="2"/>
        <scheme val="minor"/>
      </rPr>
      <t xml:space="preserve"> (Bodegas fenoco y Fotocopias)</t>
    </r>
  </si>
  <si>
    <r>
      <t>TRANSFERENCIAS CORRIENTES</t>
    </r>
    <r>
      <rPr>
        <sz val="11"/>
        <color rgb="FF000000"/>
        <rFont val="Calibri"/>
        <family val="2"/>
        <scheme val="minor"/>
      </rPr>
      <t xml:space="preserve"> (Indemnizaciones y sentencias y Conciliaciones)</t>
    </r>
  </si>
  <si>
    <r>
      <t xml:space="preserve">RENDIMIENTOS FINANCIEROS </t>
    </r>
    <r>
      <rPr>
        <sz val="11"/>
        <color rgb="FF000000"/>
        <rFont val="Calibri"/>
        <family val="2"/>
        <scheme val="minor"/>
      </rPr>
      <t>(Rendimientos financieros y Rendimientos a terceros)</t>
    </r>
  </si>
  <si>
    <t>3-1</t>
  </si>
  <si>
    <t>3-1-01-1</t>
  </si>
  <si>
    <t>3-1-01</t>
  </si>
  <si>
    <t>3-1-01-1-02</t>
  </si>
  <si>
    <t>3-1-01-1-02-2</t>
  </si>
  <si>
    <t>3-1-01-1-02-2-33</t>
  </si>
  <si>
    <t>3-1-01-1-02-2-66</t>
  </si>
  <si>
    <t>3-1-01-1-02-3</t>
  </si>
  <si>
    <t>3-1-01-1-02-3-01</t>
  </si>
  <si>
    <t>3-1-01-1-02-3-01-04</t>
  </si>
  <si>
    <t>3-1-01-1-02-5</t>
  </si>
  <si>
    <t>3-1-01-1-02-5-02</t>
  </si>
  <si>
    <t>3-1-01-1-02-5-02-07</t>
  </si>
  <si>
    <t>3-1-01-1-02-5-02-07-3</t>
  </si>
  <si>
    <t>3-1-01-1-02-5-02-07-3-2</t>
  </si>
  <si>
    <t>3-1-01-1-02-5-02-08</t>
  </si>
  <si>
    <t>3-1-01-1-02-5-02-08-9</t>
  </si>
  <si>
    <t>3-1-01-1-02-5-02-08-9-1</t>
  </si>
  <si>
    <t>3-1-01-2</t>
  </si>
  <si>
    <t>3-1-01-1-02-6-05-02</t>
  </si>
  <si>
    <t>3-1-01-1-02-6-05</t>
  </si>
  <si>
    <t>3-1-01-1-02-6-02</t>
  </si>
  <si>
    <t>3-1-01-1-02-6-01</t>
  </si>
  <si>
    <t>3-1-01-1-02-6</t>
  </si>
  <si>
    <t>3-1-01-2-02</t>
  </si>
  <si>
    <t>3-1-01-2-02-1</t>
  </si>
  <si>
    <t>3-1-01-2-05</t>
  </si>
  <si>
    <t>3-1-01-2-05-1</t>
  </si>
  <si>
    <t>3-1-01-2-05-1-02</t>
  </si>
  <si>
    <t>3-1-01-2-05-1-02-01</t>
  </si>
  <si>
    <t>3-1-01-2-05-1-03</t>
  </si>
  <si>
    <t>3-1-01-2-05-3</t>
  </si>
  <si>
    <t>3-1-01-2-05-3-01</t>
  </si>
  <si>
    <t>3-1-01-2-13</t>
  </si>
  <si>
    <t>3-1-01-2-13-1</t>
  </si>
  <si>
    <t>3-1-01-2-13-1-01</t>
  </si>
  <si>
    <t>3-1-01-2-13-1-03</t>
  </si>
  <si>
    <t>3-1-01-2-13-1-05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</si>
  <si>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</si>
  <si>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</si>
  <si>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</si>
  <si>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</si>
  <si>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</si>
  <si>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r>
      <t>(**) MEDIANTE DECRETO 2412 DEL 31 DE DICIEMBRE DE 2019 "</t>
    </r>
    <r>
      <rPr>
        <i/>
        <sz val="10"/>
        <rFont val="Calibri"/>
        <family val="2"/>
        <scheme val="minor"/>
      </rPr>
      <t xml:space="preserve">POR EL CUAL SE REDUCEN UNAS APROPIACIONES EN EL PRESUPUESTO GENERAL DE LA NACIÓN DE LA VIGENCIA FISCAL DE 2019 Y SE DICTAN OTRAS DISPOSICIONES" </t>
    </r>
    <r>
      <rPr>
        <sz val="10"/>
        <rFont val="Calibri"/>
        <family val="2"/>
        <scheme val="minor"/>
      </rPr>
      <t xml:space="preserve">A LA AGENCIA NACIONAL DE INFRAESTRUCTURA SE LE RECORTÓ LA SUMA DE $ 40.362.558.200 DE LOS CUALES, EL VALOR DE  $ 2.121.344.867 CON RECURSOS PROPIOS Y LOS RESTANTES $ 38.241.213.333. CON  APORTES NACIÓN - INVERSION.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</si>
</sst>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43" fontId="9" fillId="0" borderId="25" xfId="0" applyNumberFormat="1" applyFont="1" applyBorder="1" applyAlignment="1">
      <alignment vertical="center" readingOrder="1"/>
    </xf>
    <xf numFmtId="0" fontId="11" fillId="2" borderId="1" xfId="0" applyNumberFormat="1" applyFont="1" applyFill="1" applyBorder="1" applyAlignment="1">
      <alignment vertical="center" wrapText="1" readingOrder="1"/>
    </xf>
    <xf numFmtId="43" fontId="8" fillId="2" borderId="1" xfId="0" applyNumberFormat="1" applyFont="1" applyFill="1" applyBorder="1" applyAlignment="1">
      <alignment vertical="center" readingOrder="1"/>
    </xf>
    <xf numFmtId="43" fontId="8" fillId="2" borderId="13" xfId="0" applyNumberFormat="1" applyFont="1" applyFill="1" applyBorder="1" applyAlignment="1">
      <alignment vertical="center" readingOrder="1"/>
    </xf>
    <xf numFmtId="0" fontId="9" fillId="2" borderId="2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9" fillId="0" borderId="0" xfId="0" applyFont="1"/>
    <xf numFmtId="0" fontId="9" fillId="2" borderId="5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/>
    <xf numFmtId="0" fontId="18" fillId="2" borderId="0" xfId="0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9" xfId="0" applyFont="1" applyFill="1" applyBorder="1"/>
    <xf numFmtId="0" fontId="8" fillId="0" borderId="0" xfId="0" applyFont="1"/>
    <xf numFmtId="43" fontId="8" fillId="0" borderId="0" xfId="0" applyNumberFormat="1" applyFont="1"/>
    <xf numFmtId="0" fontId="18" fillId="0" borderId="1" xfId="0" applyFont="1" applyFill="1" applyBorder="1" applyAlignment="1"/>
    <xf numFmtId="0" fontId="12" fillId="0" borderId="1" xfId="0" applyNumberFormat="1" applyFont="1" applyFill="1" applyBorder="1" applyAlignment="1">
      <alignment vertical="top" wrapText="1" readingOrder="1"/>
    </xf>
    <xf numFmtId="0" fontId="17" fillId="2" borderId="30" xfId="0" applyFont="1" applyFill="1" applyBorder="1" applyAlignment="1">
      <alignment horizontal="left" vertical="center" readingOrder="1"/>
    </xf>
    <xf numFmtId="0" fontId="17" fillId="2" borderId="7" xfId="0" applyFont="1" applyFill="1" applyBorder="1" applyAlignment="1">
      <alignment vertical="center" readingOrder="1"/>
    </xf>
    <xf numFmtId="0" fontId="18" fillId="2" borderId="10" xfId="0" applyFont="1" applyFill="1" applyBorder="1" applyAlignment="1">
      <alignment horizontal="left" vertical="center" readingOrder="1"/>
    </xf>
    <xf numFmtId="0" fontId="18" fillId="2" borderId="1" xfId="0" applyFont="1" applyFill="1" applyBorder="1" applyAlignment="1">
      <alignment vertical="center" readingOrder="1"/>
    </xf>
    <xf numFmtId="43" fontId="9" fillId="0" borderId="0" xfId="0" applyNumberFormat="1" applyFont="1"/>
    <xf numFmtId="0" fontId="9" fillId="2" borderId="3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left" vertical="center" readingOrder="1"/>
    </xf>
    <xf numFmtId="0" fontId="18" fillId="2" borderId="15" xfId="0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3" fontId="17" fillId="2" borderId="6" xfId="1" applyFont="1" applyFill="1" applyBorder="1" applyAlignment="1">
      <alignment horizontal="right" vertical="center" readingOrder="1"/>
    </xf>
    <xf numFmtId="43" fontId="8" fillId="0" borderId="6" xfId="0" applyNumberFormat="1" applyFont="1" applyBorder="1" applyAlignment="1">
      <alignment vertical="center" readingOrder="1"/>
    </xf>
    <xf numFmtId="0" fontId="9" fillId="2" borderId="9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43" fontId="18" fillId="2" borderId="0" xfId="1" applyFont="1" applyFill="1" applyBorder="1" applyAlignment="1"/>
    <xf numFmtId="43" fontId="18" fillId="2" borderId="0" xfId="1" applyFont="1" applyFill="1" applyBorder="1" applyAlignment="1">
      <alignment horizontal="left"/>
    </xf>
    <xf numFmtId="43" fontId="18" fillId="2" borderId="0" xfId="1" applyFont="1" applyFill="1" applyBorder="1" applyAlignment="1">
      <alignment vertical="center"/>
    </xf>
    <xf numFmtId="43" fontId="18" fillId="2" borderId="0" xfId="1" applyFont="1" applyFill="1" applyBorder="1" applyAlignment="1">
      <alignment vertical="top"/>
    </xf>
    <xf numFmtId="0" fontId="9" fillId="2" borderId="11" xfId="0" applyFont="1" applyFill="1" applyBorder="1"/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/>
    <xf numFmtId="164" fontId="18" fillId="2" borderId="8" xfId="0" applyNumberFormat="1" applyFont="1" applyFill="1" applyBorder="1" applyAlignment="1">
      <alignment vertical="top"/>
    </xf>
    <xf numFmtId="43" fontId="18" fillId="2" borderId="8" xfId="1" applyFont="1" applyFill="1" applyBorder="1" applyAlignment="1">
      <alignment vertical="top"/>
    </xf>
    <xf numFmtId="43" fontId="17" fillId="2" borderId="8" xfId="1" applyFont="1" applyFill="1" applyBorder="1" applyAlignment="1">
      <alignment vertical="top"/>
    </xf>
    <xf numFmtId="43" fontId="18" fillId="2" borderId="8" xfId="1" applyFont="1" applyFill="1" applyBorder="1" applyAlignment="1">
      <alignment vertical="center"/>
    </xf>
    <xf numFmtId="0" fontId="9" fillId="2" borderId="12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9" fontId="8" fillId="0" borderId="0" xfId="2" applyFont="1"/>
    <xf numFmtId="10" fontId="8" fillId="0" borderId="0" xfId="0" applyNumberFormat="1" applyFont="1"/>
    <xf numFmtId="9" fontId="8" fillId="0" borderId="0" xfId="0" applyNumberFormat="1" applyFont="1"/>
    <xf numFmtId="44" fontId="9" fillId="0" borderId="0" xfId="3" applyFont="1"/>
    <xf numFmtId="43" fontId="8" fillId="0" borderId="35" xfId="0" applyNumberFormat="1" applyFont="1" applyBorder="1" applyAlignment="1">
      <alignment vertical="center" readingOrder="1"/>
    </xf>
    <xf numFmtId="0" fontId="12" fillId="2" borderId="1" xfId="0" applyNumberFormat="1" applyFont="1" applyFill="1" applyBorder="1" applyAlignment="1">
      <alignment vertical="center" wrapText="1" readingOrder="1"/>
    </xf>
    <xf numFmtId="43" fontId="9" fillId="2" borderId="1" xfId="0" applyNumberFormat="1" applyFont="1" applyFill="1" applyBorder="1" applyAlignment="1">
      <alignment vertical="center" readingOrder="1"/>
    </xf>
    <xf numFmtId="43" fontId="9" fillId="2" borderId="13" xfId="0" applyNumberFormat="1" applyFont="1" applyFill="1" applyBorder="1" applyAlignment="1">
      <alignment vertical="center" readingOrder="1"/>
    </xf>
    <xf numFmtId="0" fontId="8" fillId="2" borderId="0" xfId="0" applyFont="1" applyFill="1"/>
    <xf numFmtId="0" fontId="9" fillId="2" borderId="0" xfId="0" applyFont="1" applyFill="1"/>
    <xf numFmtId="0" fontId="18" fillId="2" borderId="1" xfId="0" applyFont="1" applyFill="1" applyBorder="1" applyAlignment="1"/>
    <xf numFmtId="0" fontId="12" fillId="2" borderId="1" xfId="0" applyNumberFormat="1" applyFont="1" applyFill="1" applyBorder="1" applyAlignment="1">
      <alignment vertical="top" wrapText="1" readingOrder="1"/>
    </xf>
    <xf numFmtId="2" fontId="9" fillId="2" borderId="0" xfId="0" applyNumberFormat="1" applyFont="1" applyFill="1"/>
    <xf numFmtId="43" fontId="8" fillId="2" borderId="0" xfId="0" applyNumberFormat="1" applyFont="1" applyFill="1"/>
    <xf numFmtId="43" fontId="9" fillId="2" borderId="0" xfId="0" applyNumberFormat="1" applyFont="1" applyFill="1"/>
    <xf numFmtId="44" fontId="9" fillId="2" borderId="0" xfId="3" applyFont="1" applyFill="1"/>
    <xf numFmtId="0" fontId="11" fillId="2" borderId="24" xfId="0" applyNumberFormat="1" applyFont="1" applyFill="1" applyBorder="1" applyAlignment="1">
      <alignment vertical="center" wrapText="1" readingOrder="1"/>
    </xf>
    <xf numFmtId="43" fontId="8" fillId="2" borderId="24" xfId="0" applyNumberFormat="1" applyFont="1" applyFill="1" applyBorder="1" applyAlignment="1">
      <alignment vertical="center" readingOrder="1"/>
    </xf>
    <xf numFmtId="0" fontId="12" fillId="2" borderId="24" xfId="0" applyNumberFormat="1" applyFont="1" applyFill="1" applyBorder="1" applyAlignment="1">
      <alignment vertical="center" wrapText="1" readingOrder="1"/>
    </xf>
    <xf numFmtId="43" fontId="9" fillId="2" borderId="24" xfId="0" applyNumberFormat="1" applyFont="1" applyFill="1" applyBorder="1" applyAlignment="1">
      <alignment vertical="center" readingOrder="1"/>
    </xf>
    <xf numFmtId="43" fontId="9" fillId="2" borderId="7" xfId="0" applyNumberFormat="1" applyFont="1" applyFill="1" applyBorder="1" applyAlignment="1">
      <alignment vertical="center" readingOrder="1"/>
    </xf>
    <xf numFmtId="43" fontId="8" fillId="2" borderId="7" xfId="0" applyNumberFormat="1" applyFont="1" applyFill="1" applyBorder="1" applyAlignment="1">
      <alignment vertical="center" readingOrder="1"/>
    </xf>
    <xf numFmtId="43" fontId="9" fillId="2" borderId="25" xfId="0" applyNumberFormat="1" applyFont="1" applyFill="1" applyBorder="1" applyAlignment="1">
      <alignment vertical="center" readingOrder="1"/>
    </xf>
    <xf numFmtId="43" fontId="8" fillId="2" borderId="6" xfId="0" applyNumberFormat="1" applyFont="1" applyFill="1" applyBorder="1" applyAlignment="1">
      <alignment vertical="center" readingOrder="1"/>
    </xf>
    <xf numFmtId="0" fontId="9" fillId="2" borderId="0" xfId="0" applyFont="1" applyFill="1" applyAlignment="1">
      <alignment horizontal="right" vertical="center"/>
    </xf>
    <xf numFmtId="43" fontId="9" fillId="2" borderId="0" xfId="0" applyNumberFormat="1" applyFont="1" applyFill="1" applyAlignment="1">
      <alignment horizontal="right" vertical="center"/>
    </xf>
    <xf numFmtId="44" fontId="9" fillId="2" borderId="0" xfId="3" applyFont="1" applyFill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43" fontId="17" fillId="0" borderId="37" xfId="1" applyFont="1" applyFill="1" applyBorder="1" applyAlignment="1">
      <alignment horizontal="center" vertical="center" wrapText="1"/>
    </xf>
    <xf numFmtId="44" fontId="8" fillId="0" borderId="0" xfId="3" applyFont="1"/>
    <xf numFmtId="10" fontId="8" fillId="0" borderId="0" xfId="2" applyNumberFormat="1" applyFont="1"/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center"/>
    </xf>
    <xf numFmtId="0" fontId="23" fillId="2" borderId="22" xfId="0" applyNumberFormat="1" applyFont="1" applyFill="1" applyBorder="1" applyAlignment="1">
      <alignment horizontal="left" vertical="center" wrapText="1" readingOrder="1"/>
    </xf>
    <xf numFmtId="0" fontId="23" fillId="0" borderId="35" xfId="0" applyNumberFormat="1" applyFont="1" applyFill="1" applyBorder="1" applyAlignment="1">
      <alignment vertical="center" wrapText="1" readingOrder="1"/>
    </xf>
    <xf numFmtId="43" fontId="2" fillId="0" borderId="35" xfId="0" applyNumberFormat="1" applyFont="1" applyBorder="1" applyAlignment="1">
      <alignment vertical="center" readingOrder="1"/>
    </xf>
    <xf numFmtId="9" fontId="2" fillId="0" borderId="38" xfId="2" applyFont="1" applyBorder="1" applyAlignment="1">
      <alignment horizontal="center" vertical="center"/>
    </xf>
    <xf numFmtId="0" fontId="23" fillId="2" borderId="10" xfId="0" applyNumberFormat="1" applyFont="1" applyFill="1" applyBorder="1" applyAlignment="1">
      <alignment horizontal="left" vertical="center" wrapText="1" readingOrder="1"/>
    </xf>
    <xf numFmtId="0" fontId="23" fillId="0" borderId="1" xfId="0" applyNumberFormat="1" applyFont="1" applyFill="1" applyBorder="1" applyAlignment="1">
      <alignment vertical="center" wrapText="1" readingOrder="1"/>
    </xf>
    <xf numFmtId="43" fontId="2" fillId="0" borderId="1" xfId="0" applyNumberFormat="1" applyFont="1" applyBorder="1" applyAlignment="1">
      <alignment vertical="center" readingOrder="1"/>
    </xf>
    <xf numFmtId="9" fontId="2" fillId="0" borderId="26" xfId="2" applyFont="1" applyBorder="1" applyAlignment="1">
      <alignment horizontal="center" vertical="center"/>
    </xf>
    <xf numFmtId="0" fontId="23" fillId="2" borderId="1" xfId="0" applyNumberFormat="1" applyFont="1" applyFill="1" applyBorder="1" applyAlignment="1">
      <alignment vertical="center" wrapText="1" readingOrder="1"/>
    </xf>
    <xf numFmtId="43" fontId="2" fillId="2" borderId="1" xfId="0" applyNumberFormat="1" applyFont="1" applyFill="1" applyBorder="1" applyAlignment="1">
      <alignment vertical="center" readingOrder="1"/>
    </xf>
    <xf numFmtId="1" fontId="24" fillId="2" borderId="10" xfId="0" applyNumberFormat="1" applyFont="1" applyFill="1" applyBorder="1" applyAlignment="1">
      <alignment horizontal="left" vertical="center" wrapText="1" readingOrder="1"/>
    </xf>
    <xf numFmtId="0" fontId="24" fillId="2" borderId="1" xfId="0" applyNumberFormat="1" applyFont="1" applyFill="1" applyBorder="1" applyAlignment="1">
      <alignment vertical="center" wrapText="1" readingOrder="1"/>
    </xf>
    <xf numFmtId="43" fontId="0" fillId="2" borderId="1" xfId="0" applyNumberFormat="1" applyFont="1" applyFill="1" applyBorder="1" applyAlignment="1">
      <alignment vertical="center" readingOrder="1"/>
    </xf>
    <xf numFmtId="10" fontId="2" fillId="0" borderId="26" xfId="2" applyNumberFormat="1" applyFont="1" applyBorder="1" applyAlignment="1">
      <alignment horizontal="center" vertical="center"/>
    </xf>
    <xf numFmtId="1" fontId="23" fillId="2" borderId="10" xfId="0" applyNumberFormat="1" applyFont="1" applyFill="1" applyBorder="1" applyAlignment="1">
      <alignment horizontal="left" vertical="center" wrapText="1" readingOrder="1"/>
    </xf>
    <xf numFmtId="0" fontId="25" fillId="2" borderId="1" xfId="0" applyFont="1" applyFill="1" applyBorder="1" applyAlignment="1"/>
    <xf numFmtId="0" fontId="24" fillId="2" borderId="1" xfId="0" applyNumberFormat="1" applyFont="1" applyFill="1" applyBorder="1" applyAlignment="1">
      <alignment vertical="top" wrapText="1" readingOrder="1"/>
    </xf>
    <xf numFmtId="0" fontId="24" fillId="2" borderId="10" xfId="0" applyNumberFormat="1" applyFont="1" applyFill="1" applyBorder="1" applyAlignment="1">
      <alignment horizontal="left" vertical="center" wrapText="1" readingOrder="1"/>
    </xf>
    <xf numFmtId="0" fontId="10" fillId="2" borderId="10" xfId="0" applyFont="1" applyFill="1" applyBorder="1" applyAlignment="1">
      <alignment horizontal="left" vertical="center" readingOrder="1"/>
    </xf>
    <xf numFmtId="0" fontId="10" fillId="2" borderId="1" xfId="0" applyFont="1" applyFill="1" applyBorder="1" applyAlignment="1">
      <alignment vertical="center" readingOrder="1"/>
    </xf>
    <xf numFmtId="0" fontId="25" fillId="2" borderId="10" xfId="0" applyFont="1" applyFill="1" applyBorder="1" applyAlignment="1">
      <alignment horizontal="left" vertical="center" readingOrder="1"/>
    </xf>
    <xf numFmtId="0" fontId="25" fillId="2" borderId="1" xfId="0" applyFont="1" applyFill="1" applyBorder="1" applyAlignment="1">
      <alignment vertical="center" readingOrder="1"/>
    </xf>
    <xf numFmtId="43" fontId="0" fillId="0" borderId="1" xfId="0" applyNumberFormat="1" applyFont="1" applyBorder="1" applyAlignment="1">
      <alignment vertical="center" readingOrder="1"/>
    </xf>
    <xf numFmtId="43" fontId="10" fillId="2" borderId="15" xfId="1" applyFont="1" applyFill="1" applyBorder="1" applyAlignment="1">
      <alignment horizontal="right" vertical="center" readingOrder="1"/>
    </xf>
    <xf numFmtId="43" fontId="2" fillId="2" borderId="15" xfId="0" applyNumberFormat="1" applyFont="1" applyFill="1" applyBorder="1" applyAlignment="1">
      <alignment vertical="center" readingOrder="1"/>
    </xf>
    <xf numFmtId="9" fontId="2" fillId="0" borderId="27" xfId="2" applyFont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 readingOrder="1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2" fontId="8" fillId="2" borderId="0" xfId="0" applyNumberFormat="1" applyFont="1" applyFill="1"/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34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0" applyNumberFormat="1" applyFont="1" applyFill="1" applyBorder="1" applyAlignment="1">
      <alignment horizontal="center" vertical="top"/>
    </xf>
    <xf numFmtId="43" fontId="17" fillId="2" borderId="0" xfId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 vertical="center" readingOrder="1"/>
    </xf>
    <xf numFmtId="0" fontId="17" fillId="2" borderId="28" xfId="0" applyFont="1" applyFill="1" applyBorder="1" applyAlignment="1">
      <alignment horizontal="center" vertical="center" readingOrder="1"/>
    </xf>
    <xf numFmtId="0" fontId="18" fillId="2" borderId="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readingOrder="1"/>
    </xf>
    <xf numFmtId="0" fontId="10" fillId="2" borderId="15" xfId="0" applyFont="1" applyFill="1" applyBorder="1" applyAlignment="1">
      <alignment horizontal="center" vertical="center" readingOrder="1"/>
    </xf>
    <xf numFmtId="0" fontId="22" fillId="2" borderId="0" xfId="0" applyFont="1" applyFill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3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226" t="s">
        <v>19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229" t="s">
        <v>20</v>
      </c>
      <c r="C2" s="229"/>
      <c r="D2" s="229"/>
      <c r="E2" s="229"/>
      <c r="F2" s="229"/>
      <c r="G2" s="229"/>
      <c r="H2" s="229"/>
      <c r="I2" s="229"/>
      <c r="J2" s="229"/>
      <c r="K2" s="22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233" t="s">
        <v>21</v>
      </c>
      <c r="C4" s="233"/>
      <c r="D4" s="233"/>
      <c r="E4" s="233"/>
      <c r="F4" s="233"/>
      <c r="G4" s="233"/>
      <c r="H4" s="233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230"/>
      <c r="C6" s="230"/>
      <c r="D6" s="230"/>
      <c r="E6" s="230"/>
      <c r="F6" s="230"/>
      <c r="G6" s="230"/>
      <c r="H6" s="23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234" t="s">
        <v>50</v>
      </c>
      <c r="J28" s="235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231" t="s">
        <v>43</v>
      </c>
      <c r="K30" s="231"/>
      <c r="L30" s="10"/>
      <c r="M30" s="232" t="s">
        <v>42</v>
      </c>
      <c r="N30" s="232"/>
      <c r="O30" s="232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236" t="s">
        <v>33</v>
      </c>
      <c r="K31" s="236"/>
      <c r="L31" s="19"/>
      <c r="M31" s="227" t="s">
        <v>34</v>
      </c>
      <c r="N31" s="227"/>
      <c r="O31" s="227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238" t="s">
        <v>35</v>
      </c>
      <c r="K32" s="238"/>
      <c r="L32" s="21"/>
      <c r="M32" s="228" t="s">
        <v>40</v>
      </c>
      <c r="N32" s="228"/>
      <c r="O32" s="228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232" t="s">
        <v>44</v>
      </c>
      <c r="K34" s="232"/>
      <c r="L34" s="10"/>
      <c r="M34" s="232" t="s">
        <v>45</v>
      </c>
      <c r="N34" s="232"/>
      <c r="O34" s="232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236" t="s">
        <v>41</v>
      </c>
      <c r="K35" s="236"/>
      <c r="L35" s="1" t="s">
        <v>36</v>
      </c>
      <c r="M35" s="227" t="s">
        <v>37</v>
      </c>
      <c r="N35" s="227"/>
      <c r="O35" s="227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237" t="s">
        <v>38</v>
      </c>
      <c r="K36" s="237"/>
      <c r="L36" s="4"/>
      <c r="M36" s="239" t="s">
        <v>39</v>
      </c>
      <c r="N36" s="239"/>
      <c r="O36" s="239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J35:K35"/>
    <mergeCell ref="J36:K36"/>
    <mergeCell ref="J31:K31"/>
    <mergeCell ref="J32:K32"/>
    <mergeCell ref="M35:O35"/>
    <mergeCell ref="M36:O36"/>
    <mergeCell ref="J34:K34"/>
    <mergeCell ref="M34:O34"/>
    <mergeCell ref="B1:O1"/>
    <mergeCell ref="M31:O31"/>
    <mergeCell ref="M32:O32"/>
    <mergeCell ref="B2:K2"/>
    <mergeCell ref="B6:H6"/>
    <mergeCell ref="J30:K30"/>
    <mergeCell ref="M30:O30"/>
    <mergeCell ref="B4:H4"/>
    <mergeCell ref="I28:J28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I40" zoomScaleNormal="100" workbookViewId="0">
      <selection activeCell="J49" sqref="J49:K49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9.42578125" style="108" bestFit="1" customWidth="1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40" t="s">
        <v>19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41" t="s">
        <v>20</v>
      </c>
      <c r="C2" s="241"/>
      <c r="D2" s="241"/>
      <c r="E2" s="241"/>
      <c r="F2" s="241"/>
      <c r="G2" s="241"/>
      <c r="H2" s="241"/>
      <c r="I2" s="241"/>
      <c r="J2" s="241"/>
      <c r="K2" s="241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15" t="s">
        <v>21</v>
      </c>
      <c r="J4" s="112" t="s">
        <v>22</v>
      </c>
      <c r="K4" s="110"/>
      <c r="L4" s="116" t="s">
        <v>23</v>
      </c>
      <c r="M4" s="110" t="s">
        <v>83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O8" si="0">L8</f>
        <v>0</v>
      </c>
      <c r="M7" s="60">
        <f t="shared" si="0"/>
        <v>190805665239</v>
      </c>
      <c r="N7" s="60">
        <f t="shared" si="0"/>
        <v>238821495131.85999</v>
      </c>
      <c r="O7" s="61">
        <f t="shared" si="0"/>
        <v>-48015829892.859985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238821495131.85999</v>
      </c>
      <c r="O8" s="61">
        <f t="shared" si="0"/>
        <v>-48015829892.859985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238821495131.85999</v>
      </c>
      <c r="O9" s="61">
        <f>M9-N9</f>
        <v>-48015829892.859985</v>
      </c>
      <c r="P9" s="121"/>
      <c r="R9" s="123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1">L11</f>
        <v>0</v>
      </c>
      <c r="M10" s="62">
        <f>K10</f>
        <v>189105665239</v>
      </c>
      <c r="N10" s="62">
        <f>N11</f>
        <v>224687927589.14999</v>
      </c>
      <c r="O10" s="61">
        <f t="shared" ref="O10:O46" si="2">M10-N10</f>
        <v>-35582262350.149994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224687927589.14999</v>
      </c>
      <c r="O11" s="104">
        <f t="shared" si="2"/>
        <v>-35582262350.149994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216590903551.14999</v>
      </c>
      <c r="O12" s="104">
        <f>M12-N12</f>
        <v>-216590903551.14999</v>
      </c>
      <c r="P12" s="121"/>
    </row>
    <row r="13" spans="1:22" s="167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164" t="s">
        <v>75</v>
      </c>
      <c r="K13" s="103">
        <v>0</v>
      </c>
      <c r="L13" s="103">
        <v>0</v>
      </c>
      <c r="M13" s="103">
        <v>0</v>
      </c>
      <c r="N13" s="165">
        <f>4945980000+556350688</f>
        <v>5502330688</v>
      </c>
      <c r="O13" s="166">
        <f>M13-N13</f>
        <v>-5502330688</v>
      </c>
      <c r="P13" s="121"/>
    </row>
    <row r="14" spans="1:22" s="168" customFormat="1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164" t="s">
        <v>10</v>
      </c>
      <c r="K14" s="165">
        <v>0</v>
      </c>
      <c r="L14" s="165">
        <v>0</v>
      </c>
      <c r="M14" s="165">
        <v>0</v>
      </c>
      <c r="N14" s="165">
        <f>15834808561+54563706869.15+15896717950+17769247126+15777249110+16819635618+18338971900+17699504701+19319412671+19069318357</f>
        <v>211088572863.14999</v>
      </c>
      <c r="O14" s="104">
        <f t="shared" si="2"/>
        <v>-211088572863.14999</v>
      </c>
      <c r="P14" s="111"/>
    </row>
    <row r="15" spans="1:22" s="167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102" t="s">
        <v>11</v>
      </c>
      <c r="K15" s="103">
        <v>0</v>
      </c>
      <c r="L15" s="103">
        <v>0</v>
      </c>
      <c r="M15" s="103">
        <v>0</v>
      </c>
      <c r="N15" s="103">
        <f>N17</f>
        <v>7085095333</v>
      </c>
      <c r="O15" s="104">
        <f t="shared" si="2"/>
        <v>-7085095333</v>
      </c>
      <c r="P15" s="121"/>
    </row>
    <row r="16" spans="1:22" s="167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102" t="s">
        <v>52</v>
      </c>
      <c r="K16" s="103">
        <v>0</v>
      </c>
      <c r="L16" s="103">
        <v>0</v>
      </c>
      <c r="M16" s="103">
        <f>K16-L16</f>
        <v>0</v>
      </c>
      <c r="N16" s="103">
        <f>N17</f>
        <v>7085095333</v>
      </c>
      <c r="O16" s="104">
        <f t="shared" si="2"/>
        <v>-7085095333</v>
      </c>
      <c r="P16" s="121"/>
    </row>
    <row r="17" spans="1:18" s="168" customFormat="1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164" t="s">
        <v>12</v>
      </c>
      <c r="K17" s="165">
        <v>0</v>
      </c>
      <c r="L17" s="165">
        <v>0</v>
      </c>
      <c r="M17" s="165">
        <v>0</v>
      </c>
      <c r="N17" s="165">
        <f>2273136243+2236946051+6917490+3458745+4140580+2522661376+177496+11932439+15348678+10376235</f>
        <v>7085095333</v>
      </c>
      <c r="O17" s="104">
        <f t="shared" si="2"/>
        <v>-7085095333</v>
      </c>
      <c r="P17" s="111"/>
    </row>
    <row r="18" spans="1:18" s="167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102" t="s">
        <v>13</v>
      </c>
      <c r="K18" s="103">
        <v>189105665239</v>
      </c>
      <c r="L18" s="103">
        <v>0</v>
      </c>
      <c r="M18" s="103">
        <f>K18-L18</f>
        <v>189105665239</v>
      </c>
      <c r="N18" s="103">
        <f>N19</f>
        <v>314172312</v>
      </c>
      <c r="O18" s="104">
        <f>M18-N18</f>
        <v>188791492927</v>
      </c>
      <c r="P18" s="121"/>
    </row>
    <row r="19" spans="1:18" s="167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102" t="s">
        <v>53</v>
      </c>
      <c r="K19" s="103">
        <v>0</v>
      </c>
      <c r="L19" s="103">
        <v>0</v>
      </c>
      <c r="M19" s="103">
        <f>K19-L19</f>
        <v>0</v>
      </c>
      <c r="N19" s="103">
        <f>N20+N23</f>
        <v>314172312</v>
      </c>
      <c r="O19" s="104">
        <f t="shared" si="2"/>
        <v>-314172312</v>
      </c>
      <c r="P19" s="121"/>
    </row>
    <row r="20" spans="1:18" s="167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102" t="s">
        <v>67</v>
      </c>
      <c r="K20" s="169"/>
      <c r="L20" s="169"/>
      <c r="M20" s="103"/>
      <c r="N20" s="103">
        <f>N21</f>
        <v>307296462</v>
      </c>
      <c r="O20" s="104">
        <f t="shared" si="2"/>
        <v>-307296462</v>
      </c>
      <c r="P20" s="121"/>
    </row>
    <row r="21" spans="1:18" s="167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102" t="s">
        <v>68</v>
      </c>
      <c r="K21" s="169"/>
      <c r="L21" s="169"/>
      <c r="M21" s="103"/>
      <c r="N21" s="103">
        <f>N22</f>
        <v>307296462</v>
      </c>
      <c r="O21" s="104">
        <f t="shared" si="2"/>
        <v>-307296462</v>
      </c>
      <c r="P21" s="121"/>
    </row>
    <row r="22" spans="1:18" s="167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70" t="s">
        <v>69</v>
      </c>
      <c r="K22" s="169"/>
      <c r="L22" s="169"/>
      <c r="M22" s="165"/>
      <c r="N22" s="165">
        <f>47778578+60799563+62513922+51927478+84276921</f>
        <v>307296462</v>
      </c>
      <c r="O22" s="166">
        <f t="shared" si="2"/>
        <v>-307296462</v>
      </c>
      <c r="P22" s="121"/>
    </row>
    <row r="23" spans="1:18" s="167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102" t="s">
        <v>54</v>
      </c>
      <c r="K23" s="103">
        <v>0</v>
      </c>
      <c r="L23" s="103">
        <v>0</v>
      </c>
      <c r="M23" s="103">
        <f t="shared" ref="M23:M24" si="3">K23-L23</f>
        <v>0</v>
      </c>
      <c r="N23" s="103">
        <f>N24</f>
        <v>6875850</v>
      </c>
      <c r="O23" s="104">
        <f t="shared" si="2"/>
        <v>-6875850</v>
      </c>
      <c r="P23" s="121"/>
    </row>
    <row r="24" spans="1:18" s="167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102" t="s">
        <v>55</v>
      </c>
      <c r="K24" s="103">
        <v>0</v>
      </c>
      <c r="L24" s="103">
        <v>0</v>
      </c>
      <c r="M24" s="103">
        <f t="shared" si="3"/>
        <v>0</v>
      </c>
      <c r="N24" s="103">
        <f>N25</f>
        <v>6875850</v>
      </c>
      <c r="O24" s="104">
        <f t="shared" si="2"/>
        <v>-6875850</v>
      </c>
      <c r="P24" s="121"/>
    </row>
    <row r="25" spans="1:18" s="168" customFormat="1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164" t="s">
        <v>14</v>
      </c>
      <c r="K25" s="165">
        <v>0</v>
      </c>
      <c r="L25" s="165">
        <v>0</v>
      </c>
      <c r="M25" s="165">
        <v>0</v>
      </c>
      <c r="N25" s="165">
        <f>83063+202884+1571271+1328227+1249323+14645+1155089+126136+384737+760475</f>
        <v>6875850</v>
      </c>
      <c r="O25" s="166">
        <f t="shared" si="2"/>
        <v>-6875850</v>
      </c>
      <c r="P25" s="111"/>
    </row>
    <row r="26" spans="1:18" s="167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102" t="s">
        <v>62</v>
      </c>
      <c r="K26" s="103">
        <v>0</v>
      </c>
      <c r="L26" s="103">
        <v>0</v>
      </c>
      <c r="M26" s="103">
        <v>0</v>
      </c>
      <c r="N26" s="103">
        <f>N27</f>
        <v>697756393</v>
      </c>
      <c r="O26" s="104">
        <f t="shared" si="2"/>
        <v>-697756393</v>
      </c>
      <c r="P26" s="121"/>
    </row>
    <row r="27" spans="1:18" s="168" customFormat="1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164" t="s">
        <v>61</v>
      </c>
      <c r="K27" s="165">
        <v>0</v>
      </c>
      <c r="L27" s="165">
        <v>0</v>
      </c>
      <c r="M27" s="165">
        <v>0</v>
      </c>
      <c r="N27" s="165">
        <f>649305893+48450500</f>
        <v>697756393</v>
      </c>
      <c r="O27" s="166">
        <f t="shared" si="2"/>
        <v>-697756393</v>
      </c>
      <c r="P27" s="111"/>
      <c r="R27" s="171"/>
    </row>
    <row r="28" spans="1:18" s="167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102" t="s">
        <v>0</v>
      </c>
      <c r="K28" s="103">
        <f>K29+K38</f>
        <v>1700000000</v>
      </c>
      <c r="L28" s="103">
        <f>L29</f>
        <v>0</v>
      </c>
      <c r="M28" s="103">
        <f>M29+M38</f>
        <v>1700000000</v>
      </c>
      <c r="N28" s="103">
        <f>N29+N31+N38</f>
        <v>14133567542.710001</v>
      </c>
      <c r="O28" s="104">
        <f>M28-N28</f>
        <v>-12433567542.710001</v>
      </c>
      <c r="P28" s="121"/>
      <c r="R28" s="172"/>
    </row>
    <row r="29" spans="1:18" s="168" customFormat="1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102" t="s">
        <v>15</v>
      </c>
      <c r="K29" s="103">
        <v>1700000000</v>
      </c>
      <c r="L29" s="103">
        <v>0</v>
      </c>
      <c r="M29" s="103">
        <v>1700000000</v>
      </c>
      <c r="N29" s="103">
        <v>1700000000</v>
      </c>
      <c r="O29" s="104">
        <f t="shared" si="2"/>
        <v>0</v>
      </c>
      <c r="P29" s="111"/>
      <c r="R29" s="173"/>
    </row>
    <row r="30" spans="1:18" s="168" customFormat="1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164" t="s">
        <v>57</v>
      </c>
      <c r="K30" s="165">
        <v>0</v>
      </c>
      <c r="L30" s="165">
        <v>0</v>
      </c>
      <c r="M30" s="165">
        <f>K30-L30</f>
        <v>0</v>
      </c>
      <c r="N30" s="165">
        <v>1700000000</v>
      </c>
      <c r="O30" s="166">
        <f t="shared" si="2"/>
        <v>-1700000000</v>
      </c>
      <c r="P30" s="111"/>
    </row>
    <row r="31" spans="1:18" s="167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102" t="s">
        <v>2</v>
      </c>
      <c r="K31" s="103">
        <v>0</v>
      </c>
      <c r="L31" s="103">
        <v>0</v>
      </c>
      <c r="M31" s="103">
        <v>0</v>
      </c>
      <c r="N31" s="103">
        <f>N33+N35+N36</f>
        <v>11524971942.870001</v>
      </c>
      <c r="O31" s="104">
        <f t="shared" si="2"/>
        <v>-11524971942.870001</v>
      </c>
      <c r="P31" s="121"/>
      <c r="R31" s="172"/>
    </row>
    <row r="32" spans="1:18" s="167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102" t="s">
        <v>56</v>
      </c>
      <c r="K32" s="103">
        <v>0</v>
      </c>
      <c r="L32" s="103">
        <v>0</v>
      </c>
      <c r="M32" s="103">
        <f>K32-L32</f>
        <v>0</v>
      </c>
      <c r="N32" s="103">
        <f>N33+N35</f>
        <v>11452307258.5</v>
      </c>
      <c r="O32" s="104">
        <f t="shared" si="2"/>
        <v>-11452307258.5</v>
      </c>
      <c r="P32" s="121"/>
    </row>
    <row r="33" spans="1:18" s="168" customFormat="1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102" t="s">
        <v>4</v>
      </c>
      <c r="K33" s="103">
        <v>0</v>
      </c>
      <c r="L33" s="103">
        <v>0</v>
      </c>
      <c r="M33" s="103">
        <v>0</v>
      </c>
      <c r="N33" s="103">
        <f>2657468.69+25469957.1+1364245.06+3026746.96+107824833.19+9140375.04+361945460.49+12754771.08+8596082.06+347347480.16</f>
        <v>880127419.82999992</v>
      </c>
      <c r="O33" s="104">
        <f t="shared" si="2"/>
        <v>-880127419.82999992</v>
      </c>
      <c r="P33" s="111"/>
    </row>
    <row r="34" spans="1:18" s="168" customFormat="1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164" t="s">
        <v>65</v>
      </c>
      <c r="K34" s="165">
        <v>0</v>
      </c>
      <c r="L34" s="165">
        <v>0</v>
      </c>
      <c r="M34" s="165">
        <f>K34-L34</f>
        <v>0</v>
      </c>
      <c r="N34" s="165">
        <f>3026746.96+107824833.19+9140375.04+361945460.49+12754771.08+8596082.06+347347480.16</f>
        <v>850635748.98000002</v>
      </c>
      <c r="O34" s="166">
        <f t="shared" si="2"/>
        <v>-850635748.98000002</v>
      </c>
      <c r="P34" s="111"/>
      <c r="R34" s="173"/>
    </row>
    <row r="35" spans="1:18" s="168" customFormat="1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102" t="s">
        <v>17</v>
      </c>
      <c r="K35" s="103">
        <v>0</v>
      </c>
      <c r="L35" s="103">
        <v>0</v>
      </c>
      <c r="M35" s="103">
        <v>0</v>
      </c>
      <c r="N35" s="103">
        <f>321269509.38+7913502298.75+14616043.99+2322791986.55</f>
        <v>10572179838.67</v>
      </c>
      <c r="O35" s="104">
        <f t="shared" si="2"/>
        <v>-10572179838.67</v>
      </c>
      <c r="P35" s="111"/>
      <c r="R35" s="174"/>
    </row>
    <row r="36" spans="1:18" s="167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175" t="s">
        <v>71</v>
      </c>
      <c r="K36" s="176">
        <v>0</v>
      </c>
      <c r="L36" s="103">
        <v>0</v>
      </c>
      <c r="M36" s="103">
        <v>0</v>
      </c>
      <c r="N36" s="176">
        <f>N37</f>
        <v>72664684.370000005</v>
      </c>
      <c r="O36" s="104">
        <f t="shared" si="2"/>
        <v>-72664684.370000005</v>
      </c>
      <c r="P36" s="121"/>
    </row>
    <row r="37" spans="1:18" s="168" customFormat="1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177" t="s">
        <v>72</v>
      </c>
      <c r="K37" s="178">
        <v>0</v>
      </c>
      <c r="L37" s="165">
        <v>0</v>
      </c>
      <c r="M37" s="165">
        <v>0</v>
      </c>
      <c r="N37" s="178">
        <f>12433073.97+11949990.96+9419667.01+15344345.64+12392616.31+11124990.48</f>
        <v>72664684.370000005</v>
      </c>
      <c r="O37" s="166">
        <f t="shared" si="2"/>
        <v>-72664684.370000005</v>
      </c>
      <c r="P37" s="111"/>
    </row>
    <row r="38" spans="1:18" s="167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175" t="s">
        <v>18</v>
      </c>
      <c r="K38" s="176">
        <v>0</v>
      </c>
      <c r="L38" s="176">
        <v>0</v>
      </c>
      <c r="M38" s="176">
        <v>0</v>
      </c>
      <c r="N38" s="176">
        <f>890358081+N39</f>
        <v>908595599.84000003</v>
      </c>
      <c r="O38" s="104">
        <f>N38</f>
        <v>908595599.84000003</v>
      </c>
      <c r="P38" s="121"/>
      <c r="R38" s="172"/>
    </row>
    <row r="39" spans="1:18" s="167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102" t="s">
        <v>59</v>
      </c>
      <c r="K39" s="103">
        <v>0</v>
      </c>
      <c r="L39" s="103">
        <v>0</v>
      </c>
      <c r="M39" s="103">
        <v>0</v>
      </c>
      <c r="N39" s="103">
        <f>N40+N41+N42</f>
        <v>18237518.84</v>
      </c>
      <c r="O39" s="104">
        <f>O40+O41+O42</f>
        <v>-18237518.84</v>
      </c>
      <c r="P39" s="121"/>
    </row>
    <row r="40" spans="1:18" s="167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164" t="s">
        <v>64</v>
      </c>
      <c r="K40" s="103">
        <v>0</v>
      </c>
      <c r="L40" s="103">
        <v>0</v>
      </c>
      <c r="M40" s="103">
        <f>K40-L40</f>
        <v>0</v>
      </c>
      <c r="N40" s="165">
        <f>5850637+351626+5227639+46601+5937057</f>
        <v>17413560</v>
      </c>
      <c r="O40" s="166">
        <f t="shared" si="2"/>
        <v>-17413560</v>
      </c>
      <c r="P40" s="121"/>
    </row>
    <row r="41" spans="1:18" s="167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164" t="s">
        <v>60</v>
      </c>
      <c r="K41" s="165">
        <v>0</v>
      </c>
      <c r="L41" s="165">
        <v>0</v>
      </c>
      <c r="M41" s="165">
        <v>0</v>
      </c>
      <c r="N41" s="165">
        <f>37864.84+10352+387871+387871</f>
        <v>823958.84</v>
      </c>
      <c r="O41" s="166">
        <f t="shared" si="2"/>
        <v>-823958.84</v>
      </c>
      <c r="P41" s="121"/>
    </row>
    <row r="42" spans="1:18" s="167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164" t="s">
        <v>70</v>
      </c>
      <c r="K42" s="179">
        <v>0</v>
      </c>
      <c r="L42" s="179">
        <v>0</v>
      </c>
      <c r="M42" s="179">
        <f>K42-L42</f>
        <v>0</v>
      </c>
      <c r="N42" s="179">
        <v>0</v>
      </c>
      <c r="O42" s="166">
        <v>0</v>
      </c>
      <c r="P42" s="121"/>
    </row>
    <row r="43" spans="1:18" s="167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180">
        <f>K44+K45+K46</f>
        <v>2911046910906</v>
      </c>
      <c r="L43" s="180">
        <f>L44+L45+L46</f>
        <v>-185095000000</v>
      </c>
      <c r="M43" s="180">
        <f>K43+L43</f>
        <v>2725951910906</v>
      </c>
      <c r="N43" s="180">
        <f t="shared" ref="N43" si="4">N44+N45+N46</f>
        <v>473970286317</v>
      </c>
      <c r="O43" s="104">
        <f>M43-N43</f>
        <v>2251981624589</v>
      </c>
      <c r="P43" s="121"/>
      <c r="Q43" s="172"/>
      <c r="R43" s="172"/>
    </row>
    <row r="44" spans="1:18" s="168" customFormat="1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165">
        <v>1741000000</v>
      </c>
      <c r="L44" s="103">
        <v>0</v>
      </c>
      <c r="M44" s="165">
        <f>K44-L44</f>
        <v>1741000000</v>
      </c>
      <c r="N44" s="165">
        <v>0</v>
      </c>
      <c r="O44" s="166">
        <f t="shared" si="2"/>
        <v>1741000000</v>
      </c>
      <c r="P44" s="111"/>
      <c r="R44" s="173"/>
    </row>
    <row r="45" spans="1:18" s="168" customFormat="1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165">
        <v>608283882399</v>
      </c>
      <c r="L45" s="103">
        <v>0</v>
      </c>
      <c r="M45" s="165">
        <f t="shared" ref="M45" si="5">K45-L45</f>
        <v>608283882399</v>
      </c>
      <c r="N45" s="63">
        <v>473833889040</v>
      </c>
      <c r="O45" s="166">
        <f t="shared" si="2"/>
        <v>134449993359</v>
      </c>
      <c r="P45" s="111"/>
      <c r="Q45" s="173"/>
      <c r="R45" s="173"/>
    </row>
    <row r="46" spans="1:18" s="168" customFormat="1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178">
        <f>K46+L46</f>
        <v>2115927028507</v>
      </c>
      <c r="N46" s="75">
        <v>136397277</v>
      </c>
      <c r="O46" s="181">
        <f t="shared" si="2"/>
        <v>2115790631230</v>
      </c>
      <c r="P46" s="111"/>
      <c r="R46" s="173"/>
    </row>
    <row r="47" spans="1:18" s="183" customFormat="1" ht="31.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55" t="s">
        <v>50</v>
      </c>
      <c r="J47" s="256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712791781448.85999</v>
      </c>
      <c r="O47" s="182">
        <f>O7+O43</f>
        <v>2203965794696.1401</v>
      </c>
      <c r="P47" s="138"/>
      <c r="Q47" s="184"/>
      <c r="R47" s="184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50" t="s">
        <v>84</v>
      </c>
      <c r="J48" s="250"/>
      <c r="K48" s="250"/>
      <c r="L48" s="250"/>
      <c r="M48" s="250"/>
      <c r="N48" s="250"/>
      <c r="O48" s="250"/>
      <c r="P48" s="111"/>
      <c r="Q48" s="130"/>
      <c r="R48" s="130"/>
    </row>
    <row r="49" spans="1:18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54" t="s">
        <v>43</v>
      </c>
      <c r="K49" s="254"/>
      <c r="L49" s="110"/>
      <c r="M49" s="253" t="s">
        <v>42</v>
      </c>
      <c r="N49" s="253"/>
      <c r="O49" s="253"/>
      <c r="P49" s="111"/>
      <c r="R49" s="130"/>
    </row>
    <row r="50" spans="1:18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246" t="s">
        <v>33</v>
      </c>
      <c r="K50" s="246"/>
      <c r="L50" s="141"/>
      <c r="M50" s="247" t="s">
        <v>34</v>
      </c>
      <c r="N50" s="247"/>
      <c r="O50" s="247"/>
      <c r="P50" s="111"/>
    </row>
    <row r="51" spans="1:18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51" t="s">
        <v>35</v>
      </c>
      <c r="K51" s="251"/>
      <c r="L51" s="142"/>
      <c r="M51" s="252" t="s">
        <v>40</v>
      </c>
      <c r="N51" s="252"/>
      <c r="O51" s="252"/>
      <c r="P51" s="111"/>
    </row>
    <row r="52" spans="1:18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8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53" t="s">
        <v>44</v>
      </c>
      <c r="K53" s="253"/>
      <c r="L53" s="110"/>
      <c r="M53" s="253" t="s">
        <v>45</v>
      </c>
      <c r="N53" s="253"/>
      <c r="O53" s="253"/>
      <c r="P53" s="111"/>
    </row>
    <row r="54" spans="1:18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246" t="s">
        <v>41</v>
      </c>
      <c r="K54" s="246"/>
      <c r="L54" s="145" t="s">
        <v>36</v>
      </c>
      <c r="M54" s="247" t="s">
        <v>37</v>
      </c>
      <c r="N54" s="247"/>
      <c r="O54" s="247"/>
      <c r="P54" s="111"/>
    </row>
    <row r="55" spans="1:18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48" t="s">
        <v>38</v>
      </c>
      <c r="K55" s="248"/>
      <c r="L55" s="146"/>
      <c r="M55" s="249" t="s">
        <v>39</v>
      </c>
      <c r="N55" s="249"/>
      <c r="O55" s="249"/>
      <c r="P55" s="111"/>
    </row>
    <row r="56" spans="1:18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I48:O48"/>
    <mergeCell ref="B1:O1"/>
    <mergeCell ref="B2:K2"/>
    <mergeCell ref="B4:H4"/>
    <mergeCell ref="B6:H6"/>
    <mergeCell ref="I47:J47"/>
    <mergeCell ref="J49:K49"/>
    <mergeCell ref="M49:O49"/>
    <mergeCell ref="J50:K50"/>
    <mergeCell ref="M50:O50"/>
    <mergeCell ref="J51:K51"/>
    <mergeCell ref="M51:O51"/>
    <mergeCell ref="J53:K53"/>
    <mergeCell ref="M53:O53"/>
    <mergeCell ref="J54:K54"/>
    <mergeCell ref="M54:O54"/>
    <mergeCell ref="J55:K55"/>
    <mergeCell ref="M55:O55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  <ignoredErrors>
    <ignoredError sqref="N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opLeftCell="A40" zoomScaleNormal="100" workbookViewId="0">
      <selection activeCell="I50" sqref="I50:O50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9.42578125" style="108" bestFit="1" customWidth="1"/>
    <col min="18" max="18" width="20.42578125" style="108" bestFit="1" customWidth="1"/>
    <col min="19" max="19" width="20.28515625" style="108" customWidth="1"/>
    <col min="20" max="16384" width="11.42578125" style="108"/>
  </cols>
  <sheetData>
    <row r="1" spans="1:22" ht="27.75" customHeight="1" x14ac:dyDescent="0.2">
      <c r="A1" s="105"/>
      <c r="B1" s="240" t="s">
        <v>19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41" t="s">
        <v>20</v>
      </c>
      <c r="C2" s="241"/>
      <c r="D2" s="241"/>
      <c r="E2" s="241"/>
      <c r="F2" s="241"/>
      <c r="G2" s="241"/>
      <c r="H2" s="241"/>
      <c r="I2" s="241"/>
      <c r="J2" s="241"/>
      <c r="K2" s="241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15" t="s">
        <v>21</v>
      </c>
      <c r="J4" s="112" t="s">
        <v>22</v>
      </c>
      <c r="K4" s="110"/>
      <c r="L4" s="116" t="s">
        <v>23</v>
      </c>
      <c r="M4" s="110" t="s">
        <v>85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O8" si="0">L8</f>
        <v>0</v>
      </c>
      <c r="M7" s="60">
        <f t="shared" si="0"/>
        <v>190805665239</v>
      </c>
      <c r="N7" s="60">
        <f t="shared" si="0"/>
        <v>258220414984.10999</v>
      </c>
      <c r="O7" s="61">
        <f t="shared" si="0"/>
        <v>-67414749745.109985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258220414984.10999</v>
      </c>
      <c r="O8" s="61">
        <f t="shared" si="0"/>
        <v>-67414749745.109985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K10+K30</f>
        <v>190805665239</v>
      </c>
      <c r="L9" s="62">
        <f>L10+L30</f>
        <v>0</v>
      </c>
      <c r="M9" s="62">
        <f>M10+M30</f>
        <v>190805665239</v>
      </c>
      <c r="N9" s="62">
        <f>N10+N30</f>
        <v>258220414984.10999</v>
      </c>
      <c r="O9" s="61">
        <f>M9-N9</f>
        <v>-67414749745.109985</v>
      </c>
      <c r="P9" s="121"/>
      <c r="R9" s="123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1">L11</f>
        <v>0</v>
      </c>
      <c r="M10" s="62">
        <f>K10</f>
        <v>189105665239</v>
      </c>
      <c r="N10" s="62">
        <f>N11</f>
        <v>244061565529.14999</v>
      </c>
      <c r="O10" s="61">
        <f t="shared" ref="O10:O48" si="2">M10-N10</f>
        <v>-54955900290.149994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244061565529.14999</v>
      </c>
      <c r="O11" s="104">
        <f t="shared" si="2"/>
        <v>-54955900290.149994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233931049726.14999</v>
      </c>
      <c r="O12" s="104">
        <f>M12-N12</f>
        <v>-233931049726.14999</v>
      </c>
      <c r="P12" s="121"/>
    </row>
    <row r="13" spans="1:22" s="167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164" t="s">
        <v>75</v>
      </c>
      <c r="K13" s="103">
        <v>0</v>
      </c>
      <c r="L13" s="103">
        <v>0</v>
      </c>
      <c r="M13" s="103">
        <v>0</v>
      </c>
      <c r="N13" s="165">
        <f>4945980000+556350688</f>
        <v>5502330688</v>
      </c>
      <c r="O13" s="166">
        <f>M13-N13</f>
        <v>-5502330688</v>
      </c>
      <c r="P13" s="121"/>
    </row>
    <row r="14" spans="1:22" s="168" customFormat="1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164" t="s">
        <v>10</v>
      </c>
      <c r="K14" s="165">
        <v>0</v>
      </c>
      <c r="L14" s="165">
        <v>0</v>
      </c>
      <c r="M14" s="165">
        <v>0</v>
      </c>
      <c r="N14" s="165">
        <f>15834808561+54563706869.15+15896717950+17769247126+15777249110+16819635618+18338971900+17699504701+19319412671+19069318357+17340146175</f>
        <v>228428719038.14999</v>
      </c>
      <c r="O14" s="104">
        <f t="shared" si="2"/>
        <v>-228428719038.14999</v>
      </c>
      <c r="P14" s="111"/>
    </row>
    <row r="15" spans="1:22" s="167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102" t="s">
        <v>11</v>
      </c>
      <c r="K15" s="103">
        <v>0</v>
      </c>
      <c r="L15" s="103">
        <v>0</v>
      </c>
      <c r="M15" s="103">
        <v>0</v>
      </c>
      <c r="N15" s="103">
        <f>N17</f>
        <v>7526592415</v>
      </c>
      <c r="O15" s="104">
        <f t="shared" si="2"/>
        <v>-7526592415</v>
      </c>
      <c r="P15" s="121"/>
    </row>
    <row r="16" spans="1:22" s="167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102" t="s">
        <v>52</v>
      </c>
      <c r="K16" s="103">
        <v>0</v>
      </c>
      <c r="L16" s="103">
        <v>0</v>
      </c>
      <c r="M16" s="103">
        <f>K16-L16</f>
        <v>0</v>
      </c>
      <c r="N16" s="103">
        <f>N17</f>
        <v>7526592415</v>
      </c>
      <c r="O16" s="104">
        <f t="shared" si="2"/>
        <v>-7526592415</v>
      </c>
      <c r="P16" s="121"/>
    </row>
    <row r="17" spans="1:18" s="168" customFormat="1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164" t="s">
        <v>12</v>
      </c>
      <c r="K17" s="165">
        <v>0</v>
      </c>
      <c r="L17" s="165">
        <v>0</v>
      </c>
      <c r="M17" s="165">
        <v>0</v>
      </c>
      <c r="N17" s="165">
        <f>2273136243+2236946051+6917490+3458745+4140580+2522661376+177496+11932439+15348678+10376235+441497082</f>
        <v>7526592415</v>
      </c>
      <c r="O17" s="104">
        <f t="shared" si="2"/>
        <v>-7526592415</v>
      </c>
      <c r="P17" s="111"/>
    </row>
    <row r="18" spans="1:18" s="167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102" t="s">
        <v>13</v>
      </c>
      <c r="K18" s="103">
        <v>189105665239</v>
      </c>
      <c r="L18" s="103">
        <v>0</v>
      </c>
      <c r="M18" s="103">
        <f>K18-L18</f>
        <v>189105665239</v>
      </c>
      <c r="N18" s="103">
        <f>N19</f>
        <v>406623522</v>
      </c>
      <c r="O18" s="104">
        <f>M18-N18</f>
        <v>188699041717</v>
      </c>
      <c r="P18" s="121"/>
    </row>
    <row r="19" spans="1:18" s="167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102" t="s">
        <v>53</v>
      </c>
      <c r="K19" s="103">
        <v>0</v>
      </c>
      <c r="L19" s="103">
        <v>0</v>
      </c>
      <c r="M19" s="103">
        <f>K19-L19</f>
        <v>0</v>
      </c>
      <c r="N19" s="103">
        <f>N20+N23</f>
        <v>406623522</v>
      </c>
      <c r="O19" s="104">
        <f t="shared" si="2"/>
        <v>-406623522</v>
      </c>
      <c r="P19" s="121"/>
    </row>
    <row r="20" spans="1:18" s="167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102" t="s">
        <v>67</v>
      </c>
      <c r="K20" s="169"/>
      <c r="L20" s="169"/>
      <c r="M20" s="103"/>
      <c r="N20" s="103">
        <f>N21</f>
        <v>399493016</v>
      </c>
      <c r="O20" s="104">
        <f t="shared" si="2"/>
        <v>-399493016</v>
      </c>
      <c r="P20" s="121"/>
    </row>
    <row r="21" spans="1:18" s="167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102" t="s">
        <v>68</v>
      </c>
      <c r="K21" s="169"/>
      <c r="L21" s="169"/>
      <c r="M21" s="103"/>
      <c r="N21" s="103">
        <f>N22</f>
        <v>399493016</v>
      </c>
      <c r="O21" s="104">
        <f t="shared" si="2"/>
        <v>-399493016</v>
      </c>
      <c r="P21" s="121"/>
    </row>
    <row r="22" spans="1:18" s="167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70" t="s">
        <v>69</v>
      </c>
      <c r="K22" s="169"/>
      <c r="L22" s="169"/>
      <c r="M22" s="165"/>
      <c r="N22" s="165">
        <f>47778578+60799563+62513922+51927478+84276921+92196554</f>
        <v>399493016</v>
      </c>
      <c r="O22" s="166">
        <f t="shared" si="2"/>
        <v>-399493016</v>
      </c>
      <c r="P22" s="121"/>
    </row>
    <row r="23" spans="1:18" s="167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102" t="s">
        <v>54</v>
      </c>
      <c r="K23" s="103">
        <v>0</v>
      </c>
      <c r="L23" s="103">
        <v>0</v>
      </c>
      <c r="M23" s="103">
        <f t="shared" ref="M23:M24" si="3">K23-L23</f>
        <v>0</v>
      </c>
      <c r="N23" s="103">
        <f>N24</f>
        <v>7130506</v>
      </c>
      <c r="O23" s="104">
        <f t="shared" si="2"/>
        <v>-7130506</v>
      </c>
      <c r="P23" s="121"/>
    </row>
    <row r="24" spans="1:18" s="167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102" t="s">
        <v>55</v>
      </c>
      <c r="K24" s="103">
        <v>0</v>
      </c>
      <c r="L24" s="103">
        <v>0</v>
      </c>
      <c r="M24" s="103">
        <f t="shared" si="3"/>
        <v>0</v>
      </c>
      <c r="N24" s="103">
        <f>N25</f>
        <v>7130506</v>
      </c>
      <c r="O24" s="104">
        <f t="shared" si="2"/>
        <v>-7130506</v>
      </c>
      <c r="P24" s="121"/>
    </row>
    <row r="25" spans="1:18" s="168" customFormat="1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164" t="s">
        <v>14</v>
      </c>
      <c r="K25" s="165">
        <v>0</v>
      </c>
      <c r="L25" s="165">
        <v>0</v>
      </c>
      <c r="M25" s="165">
        <v>0</v>
      </c>
      <c r="N25" s="165">
        <f>83063+202884+1571271+1328227+1249323+14645+1155089+126136+384737+760475+254656</f>
        <v>7130506</v>
      </c>
      <c r="O25" s="166">
        <f t="shared" si="2"/>
        <v>-7130506</v>
      </c>
      <c r="P25" s="111"/>
    </row>
    <row r="26" spans="1:18" s="167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102" t="s">
        <v>62</v>
      </c>
      <c r="K26" s="103">
        <v>0</v>
      </c>
      <c r="L26" s="103">
        <v>0</v>
      </c>
      <c r="M26" s="103">
        <v>0</v>
      </c>
      <c r="N26" s="103">
        <f>+N28+N27</f>
        <v>2197299866</v>
      </c>
      <c r="O26" s="104">
        <f t="shared" si="2"/>
        <v>-2197299866</v>
      </c>
      <c r="P26" s="121"/>
    </row>
    <row r="27" spans="1:18" s="168" customFormat="1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164" t="s">
        <v>61</v>
      </c>
      <c r="K27" s="165">
        <v>0</v>
      </c>
      <c r="L27" s="165">
        <v>0</v>
      </c>
      <c r="M27" s="165">
        <v>0</v>
      </c>
      <c r="N27" s="165">
        <f>649305893+48450500</f>
        <v>697756393</v>
      </c>
      <c r="O27" s="166">
        <f t="shared" si="2"/>
        <v>-697756393</v>
      </c>
      <c r="P27" s="111"/>
      <c r="R27" s="171"/>
    </row>
    <row r="28" spans="1:18" s="168" customFormat="1" ht="25.5" customHeight="1" x14ac:dyDescent="0.2">
      <c r="A28" s="109"/>
      <c r="B28" s="33"/>
      <c r="C28" s="34"/>
      <c r="D28" s="35"/>
      <c r="E28" s="34"/>
      <c r="F28" s="35"/>
      <c r="G28" s="34"/>
      <c r="H28" s="35"/>
      <c r="I28" s="82">
        <v>3101102605</v>
      </c>
      <c r="J28" s="102" t="s">
        <v>86</v>
      </c>
      <c r="K28" s="103">
        <v>0</v>
      </c>
      <c r="L28" s="103">
        <v>0</v>
      </c>
      <c r="M28" s="103">
        <f>K28-L28</f>
        <v>0</v>
      </c>
      <c r="N28" s="103">
        <f>N29</f>
        <v>1499543473</v>
      </c>
      <c r="O28" s="104">
        <f>O29</f>
        <v>-1499543473</v>
      </c>
      <c r="P28" s="111"/>
      <c r="R28" s="171"/>
    </row>
    <row r="29" spans="1:18" s="168" customFormat="1" ht="25.5" customHeight="1" x14ac:dyDescent="0.2">
      <c r="A29" s="109"/>
      <c r="B29" s="33"/>
      <c r="C29" s="34"/>
      <c r="D29" s="35"/>
      <c r="E29" s="34"/>
      <c r="F29" s="35"/>
      <c r="G29" s="34"/>
      <c r="H29" s="35"/>
      <c r="I29" s="81">
        <v>310110260502</v>
      </c>
      <c r="J29" s="164" t="s">
        <v>87</v>
      </c>
      <c r="K29" s="165">
        <v>0</v>
      </c>
      <c r="L29" s="165">
        <v>0</v>
      </c>
      <c r="M29" s="165">
        <f>K29-L29</f>
        <v>0</v>
      </c>
      <c r="N29" s="165">
        <v>1499543473</v>
      </c>
      <c r="O29" s="166">
        <f>M29-N29</f>
        <v>-1499543473</v>
      </c>
      <c r="P29" s="111"/>
      <c r="R29" s="171"/>
    </row>
    <row r="30" spans="1:18" s="167" customFormat="1" ht="23.25" customHeight="1" x14ac:dyDescent="0.2">
      <c r="A30" s="120"/>
      <c r="B30" s="33">
        <v>3</v>
      </c>
      <c r="C30" s="34">
        <v>1</v>
      </c>
      <c r="D30" s="35" t="s">
        <v>6</v>
      </c>
      <c r="E30" s="34">
        <v>2</v>
      </c>
      <c r="F30" s="35"/>
      <c r="G30" s="34"/>
      <c r="H30" s="35"/>
      <c r="I30" s="43">
        <v>31012</v>
      </c>
      <c r="J30" s="102" t="s">
        <v>0</v>
      </c>
      <c r="K30" s="103">
        <f>K31+K40</f>
        <v>1700000000</v>
      </c>
      <c r="L30" s="103">
        <f>L31</f>
        <v>0</v>
      </c>
      <c r="M30" s="103">
        <f>M31+M40</f>
        <v>1700000000</v>
      </c>
      <c r="N30" s="103">
        <f>N31+N33+N40</f>
        <v>14158849454.960001</v>
      </c>
      <c r="O30" s="104">
        <f>M30-N30</f>
        <v>-12458849454.960001</v>
      </c>
      <c r="P30" s="121"/>
      <c r="R30" s="172"/>
    </row>
    <row r="31" spans="1:18" s="168" customFormat="1" ht="26.25" customHeight="1" x14ac:dyDescent="0.2">
      <c r="A31" s="109"/>
      <c r="B31" s="33">
        <v>3</v>
      </c>
      <c r="C31" s="34">
        <v>1</v>
      </c>
      <c r="D31" s="35" t="s">
        <v>6</v>
      </c>
      <c r="E31" s="34">
        <v>2</v>
      </c>
      <c r="F31" s="35" t="s">
        <v>3</v>
      </c>
      <c r="G31" s="34"/>
      <c r="H31" s="35"/>
      <c r="I31" s="43">
        <v>3101202</v>
      </c>
      <c r="J31" s="102" t="s">
        <v>15</v>
      </c>
      <c r="K31" s="103">
        <v>1700000000</v>
      </c>
      <c r="L31" s="103">
        <v>0</v>
      </c>
      <c r="M31" s="103">
        <v>1700000000</v>
      </c>
      <c r="N31" s="103">
        <v>1700000000</v>
      </c>
      <c r="O31" s="104">
        <f t="shared" si="2"/>
        <v>0</v>
      </c>
      <c r="P31" s="111"/>
      <c r="R31" s="173"/>
    </row>
    <row r="32" spans="1:18" s="168" customFormat="1" ht="21.75" customHeight="1" x14ac:dyDescent="0.2">
      <c r="A32" s="109"/>
      <c r="B32" s="33"/>
      <c r="C32" s="34"/>
      <c r="D32" s="35"/>
      <c r="E32" s="34"/>
      <c r="F32" s="35"/>
      <c r="G32" s="34"/>
      <c r="H32" s="35"/>
      <c r="I32" s="50">
        <v>31012021</v>
      </c>
      <c r="J32" s="164" t="s">
        <v>57</v>
      </c>
      <c r="K32" s="165">
        <v>0</v>
      </c>
      <c r="L32" s="165">
        <v>0</v>
      </c>
      <c r="M32" s="165">
        <f>K32-L32</f>
        <v>0</v>
      </c>
      <c r="N32" s="165">
        <v>1700000000</v>
      </c>
      <c r="O32" s="166">
        <f t="shared" si="2"/>
        <v>-1700000000</v>
      </c>
      <c r="P32" s="111"/>
    </row>
    <row r="33" spans="1:19" s="167" customFormat="1" ht="19.5" customHeight="1" x14ac:dyDescent="0.2">
      <c r="A33" s="120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/>
      <c r="H33" s="35"/>
      <c r="I33" s="43">
        <v>3101205</v>
      </c>
      <c r="J33" s="102" t="s">
        <v>2</v>
      </c>
      <c r="K33" s="103">
        <v>0</v>
      </c>
      <c r="L33" s="103">
        <v>0</v>
      </c>
      <c r="M33" s="103">
        <v>0</v>
      </c>
      <c r="N33" s="103">
        <f>N35+N37+N38</f>
        <v>11549632219.120001</v>
      </c>
      <c r="O33" s="104">
        <f t="shared" si="2"/>
        <v>-11549632219.120001</v>
      </c>
      <c r="P33" s="121"/>
      <c r="R33" s="172"/>
    </row>
    <row r="34" spans="1:19" s="167" customFormat="1" ht="24.75" customHeight="1" x14ac:dyDescent="0.2">
      <c r="A34" s="120"/>
      <c r="B34" s="33"/>
      <c r="C34" s="34"/>
      <c r="D34" s="35"/>
      <c r="E34" s="34"/>
      <c r="F34" s="35"/>
      <c r="G34" s="34"/>
      <c r="H34" s="35"/>
      <c r="I34" s="43">
        <v>31012051</v>
      </c>
      <c r="J34" s="102" t="s">
        <v>56</v>
      </c>
      <c r="K34" s="103">
        <v>0</v>
      </c>
      <c r="L34" s="103">
        <v>0</v>
      </c>
      <c r="M34" s="103">
        <f>K34-L34</f>
        <v>0</v>
      </c>
      <c r="N34" s="103">
        <f>N35+N37</f>
        <v>11461182035.360001</v>
      </c>
      <c r="O34" s="104">
        <f t="shared" si="2"/>
        <v>-11461182035.360001</v>
      </c>
      <c r="P34" s="121"/>
    </row>
    <row r="35" spans="1:19" s="168" customFormat="1" ht="25.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3</v>
      </c>
      <c r="I35" s="43">
        <v>3101205102</v>
      </c>
      <c r="J35" s="102" t="s">
        <v>4</v>
      </c>
      <c r="K35" s="103">
        <v>0</v>
      </c>
      <c r="L35" s="103">
        <v>0</v>
      </c>
      <c r="M35" s="103">
        <v>0</v>
      </c>
      <c r="N35" s="103">
        <f>2657468.69+25469957.1+1364245.06+3026746.96+107824833.19+9140375.04+361945460.49+12754771.08+8596082.06+347347480.16+8874776.86</f>
        <v>889002196.68999994</v>
      </c>
      <c r="O35" s="104">
        <f t="shared" si="2"/>
        <v>-889002196.68999994</v>
      </c>
      <c r="P35" s="111"/>
    </row>
    <row r="36" spans="1:19" s="168" customFormat="1" ht="20.25" customHeight="1" x14ac:dyDescent="0.2">
      <c r="A36" s="109"/>
      <c r="B36" s="33"/>
      <c r="C36" s="34"/>
      <c r="D36" s="35"/>
      <c r="E36" s="34"/>
      <c r="F36" s="35"/>
      <c r="G36" s="34"/>
      <c r="H36" s="35"/>
      <c r="I36" s="81">
        <v>310120510201</v>
      </c>
      <c r="J36" s="164" t="s">
        <v>65</v>
      </c>
      <c r="K36" s="165">
        <v>0</v>
      </c>
      <c r="L36" s="165">
        <v>0</v>
      </c>
      <c r="M36" s="165">
        <f>K36-L36</f>
        <v>0</v>
      </c>
      <c r="N36" s="165">
        <f>3026746.96+107824833.19+9140375.04+361945460.49+12754771.08+8596082.06+347347480.16+8874776.86</f>
        <v>859510525.84000003</v>
      </c>
      <c r="O36" s="166">
        <f t="shared" si="2"/>
        <v>-859510525.84000003</v>
      </c>
      <c r="P36" s="111"/>
      <c r="R36" s="173"/>
    </row>
    <row r="37" spans="1:19" s="168" customFormat="1" ht="24.95" customHeight="1" x14ac:dyDescent="0.2">
      <c r="A37" s="109"/>
      <c r="B37" s="33">
        <v>3</v>
      </c>
      <c r="C37" s="34">
        <v>1</v>
      </c>
      <c r="D37" s="35" t="s">
        <v>6</v>
      </c>
      <c r="E37" s="34">
        <v>2</v>
      </c>
      <c r="F37" s="35" t="s">
        <v>1</v>
      </c>
      <c r="G37" s="34">
        <v>1</v>
      </c>
      <c r="H37" s="35" t="s">
        <v>16</v>
      </c>
      <c r="I37" s="43">
        <v>3101205103</v>
      </c>
      <c r="J37" s="102" t="s">
        <v>17</v>
      </c>
      <c r="K37" s="103">
        <v>0</v>
      </c>
      <c r="L37" s="103">
        <v>0</v>
      </c>
      <c r="M37" s="103">
        <v>0</v>
      </c>
      <c r="N37" s="103">
        <f>321269509.38+7913502298.75+14616043.99+2322791986.55</f>
        <v>10572179838.67</v>
      </c>
      <c r="O37" s="104">
        <f t="shared" si="2"/>
        <v>-10572179838.67</v>
      </c>
      <c r="P37" s="111"/>
      <c r="R37" s="174"/>
    </row>
    <row r="38" spans="1:19" s="167" customFormat="1" ht="24.95" customHeight="1" x14ac:dyDescent="0.2">
      <c r="A38" s="120"/>
      <c r="B38" s="94"/>
      <c r="C38" s="95"/>
      <c r="D38" s="96"/>
      <c r="E38" s="95"/>
      <c r="F38" s="96"/>
      <c r="G38" s="95"/>
      <c r="H38" s="96"/>
      <c r="I38" s="48">
        <v>31012053</v>
      </c>
      <c r="J38" s="175" t="s">
        <v>71</v>
      </c>
      <c r="K38" s="176">
        <v>0</v>
      </c>
      <c r="L38" s="103">
        <v>0</v>
      </c>
      <c r="M38" s="103">
        <v>0</v>
      </c>
      <c r="N38" s="176">
        <f>N39</f>
        <v>88450183.760000005</v>
      </c>
      <c r="O38" s="104">
        <f t="shared" si="2"/>
        <v>-88450183.760000005</v>
      </c>
      <c r="P38" s="121"/>
    </row>
    <row r="39" spans="1:19" s="168" customFormat="1" ht="24.95" customHeight="1" x14ac:dyDescent="0.2">
      <c r="A39" s="109"/>
      <c r="B39" s="94"/>
      <c r="C39" s="95"/>
      <c r="D39" s="96"/>
      <c r="E39" s="95"/>
      <c r="F39" s="96"/>
      <c r="G39" s="95"/>
      <c r="H39" s="96"/>
      <c r="I39" s="97">
        <v>3101205301</v>
      </c>
      <c r="J39" s="177" t="s">
        <v>72</v>
      </c>
      <c r="K39" s="178">
        <v>0</v>
      </c>
      <c r="L39" s="165">
        <v>0</v>
      </c>
      <c r="M39" s="165">
        <v>0</v>
      </c>
      <c r="N39" s="178">
        <f>12433073.97+11949990.96+9419667.01+15344345.64+12392616.31+11124990.48+15785499.39</f>
        <v>88450183.760000005</v>
      </c>
      <c r="O39" s="166">
        <f t="shared" si="2"/>
        <v>-88450183.760000005</v>
      </c>
      <c r="P39" s="111"/>
    </row>
    <row r="40" spans="1:19" s="167" customFormat="1" ht="24.95" customHeight="1" thickBot="1" x14ac:dyDescent="0.25">
      <c r="A40" s="120"/>
      <c r="B40" s="36">
        <v>3</v>
      </c>
      <c r="C40" s="37">
        <v>1</v>
      </c>
      <c r="D40" s="38" t="s">
        <v>6</v>
      </c>
      <c r="E40" s="37">
        <v>2</v>
      </c>
      <c r="F40" s="38">
        <v>13</v>
      </c>
      <c r="G40" s="37"/>
      <c r="H40" s="38"/>
      <c r="I40" s="48">
        <v>3101213</v>
      </c>
      <c r="J40" s="175" t="s">
        <v>18</v>
      </c>
      <c r="K40" s="176">
        <v>0</v>
      </c>
      <c r="L40" s="176">
        <v>0</v>
      </c>
      <c r="M40" s="176">
        <v>0</v>
      </c>
      <c r="N40" s="176">
        <f>890358081+N41</f>
        <v>909217235.84000003</v>
      </c>
      <c r="O40" s="104">
        <f>N40</f>
        <v>909217235.84000003</v>
      </c>
      <c r="P40" s="121"/>
      <c r="R40" s="172"/>
    </row>
    <row r="41" spans="1:19" s="167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43">
        <v>31012131</v>
      </c>
      <c r="J41" s="102" t="s">
        <v>59</v>
      </c>
      <c r="K41" s="103">
        <v>0</v>
      </c>
      <c r="L41" s="103">
        <v>0</v>
      </c>
      <c r="M41" s="103">
        <v>0</v>
      </c>
      <c r="N41" s="103">
        <f>N42+N43+N44</f>
        <v>18859154.84</v>
      </c>
      <c r="O41" s="104">
        <f>O42+O43+O44</f>
        <v>-18859154.84</v>
      </c>
      <c r="P41" s="121"/>
    </row>
    <row r="42" spans="1:19" s="167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3101213101</v>
      </c>
      <c r="J42" s="164" t="s">
        <v>64</v>
      </c>
      <c r="K42" s="103">
        <v>0</v>
      </c>
      <c r="L42" s="103">
        <v>0</v>
      </c>
      <c r="M42" s="103">
        <f>K42-L42</f>
        <v>0</v>
      </c>
      <c r="N42" s="165">
        <f>5850637+351626+5227639+46601+5937057+233636</f>
        <v>17647196</v>
      </c>
      <c r="O42" s="166">
        <f t="shared" si="2"/>
        <v>-17647196</v>
      </c>
      <c r="P42" s="121"/>
    </row>
    <row r="43" spans="1:19" s="167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50">
        <v>3101213103</v>
      </c>
      <c r="J43" s="164" t="s">
        <v>60</v>
      </c>
      <c r="K43" s="165">
        <v>0</v>
      </c>
      <c r="L43" s="165">
        <v>0</v>
      </c>
      <c r="M43" s="165">
        <v>0</v>
      </c>
      <c r="N43" s="165">
        <f>37864.84+10352+387871+387871+388000</f>
        <v>1211958.8399999999</v>
      </c>
      <c r="O43" s="166">
        <f t="shared" si="2"/>
        <v>-1211958.8399999999</v>
      </c>
      <c r="P43" s="121"/>
    </row>
    <row r="44" spans="1:19" s="167" customFormat="1" ht="24.95" customHeight="1" x14ac:dyDescent="0.2">
      <c r="A44" s="120"/>
      <c r="B44" s="46"/>
      <c r="C44" s="46"/>
      <c r="D44" s="47"/>
      <c r="E44" s="46"/>
      <c r="F44" s="47"/>
      <c r="G44" s="46"/>
      <c r="H44" s="47"/>
      <c r="I44" s="50">
        <v>3101213105</v>
      </c>
      <c r="J44" s="164" t="s">
        <v>70</v>
      </c>
      <c r="K44" s="179">
        <v>0</v>
      </c>
      <c r="L44" s="179">
        <v>0</v>
      </c>
      <c r="M44" s="179">
        <f>K44-L44</f>
        <v>0</v>
      </c>
      <c r="N44" s="179">
        <v>0</v>
      </c>
      <c r="O44" s="166">
        <v>0</v>
      </c>
      <c r="P44" s="121"/>
    </row>
    <row r="45" spans="1:19" s="167" customFormat="1" ht="24.95" customHeight="1" x14ac:dyDescent="0.2">
      <c r="A45" s="120"/>
      <c r="B45" s="46"/>
      <c r="C45" s="46"/>
      <c r="D45" s="47"/>
      <c r="E45" s="46"/>
      <c r="F45" s="47"/>
      <c r="G45" s="46"/>
      <c r="H45" s="47"/>
      <c r="I45" s="126">
        <v>4</v>
      </c>
      <c r="J45" s="127" t="s">
        <v>76</v>
      </c>
      <c r="K45" s="180">
        <f>K46+K47+K48</f>
        <v>2911046910906</v>
      </c>
      <c r="L45" s="180">
        <f>L46+L47+L48</f>
        <v>-185095000000</v>
      </c>
      <c r="M45" s="180">
        <f>K45+L45</f>
        <v>2725951910906</v>
      </c>
      <c r="N45" s="180">
        <f t="shared" ref="N45" si="4">N46+N47+N48</f>
        <v>475984609757</v>
      </c>
      <c r="O45" s="104">
        <f>M45-N45</f>
        <v>2249967301149</v>
      </c>
      <c r="P45" s="121"/>
      <c r="Q45" s="172"/>
      <c r="R45" s="172"/>
    </row>
    <row r="46" spans="1:19" s="168" customFormat="1" ht="24.95" customHeight="1" x14ac:dyDescent="0.2">
      <c r="A46" s="109"/>
      <c r="B46" s="46"/>
      <c r="C46" s="46"/>
      <c r="D46" s="47"/>
      <c r="E46" s="46"/>
      <c r="F46" s="47"/>
      <c r="G46" s="46"/>
      <c r="H46" s="47"/>
      <c r="I46" s="128">
        <v>41</v>
      </c>
      <c r="J46" s="129" t="s">
        <v>47</v>
      </c>
      <c r="K46" s="165">
        <v>1741000000</v>
      </c>
      <c r="L46" s="103">
        <v>0</v>
      </c>
      <c r="M46" s="165">
        <v>1741000000</v>
      </c>
      <c r="N46" s="165">
        <v>0</v>
      </c>
      <c r="O46" s="166">
        <f t="shared" si="2"/>
        <v>1741000000</v>
      </c>
      <c r="P46" s="111"/>
      <c r="R46" s="173"/>
    </row>
    <row r="47" spans="1:19" s="168" customFormat="1" ht="24.95" customHeight="1" thickBot="1" x14ac:dyDescent="0.25">
      <c r="A47" s="109"/>
      <c r="B47" s="46"/>
      <c r="C47" s="46"/>
      <c r="D47" s="47"/>
      <c r="E47" s="46"/>
      <c r="F47" s="47"/>
      <c r="G47" s="46"/>
      <c r="H47" s="47"/>
      <c r="I47" s="128">
        <v>42</v>
      </c>
      <c r="J47" s="129" t="s">
        <v>48</v>
      </c>
      <c r="K47" s="165">
        <v>608283882399</v>
      </c>
      <c r="L47" s="103">
        <v>0</v>
      </c>
      <c r="M47" s="165">
        <v>608283882399</v>
      </c>
      <c r="N47" s="63">
        <v>473833889040</v>
      </c>
      <c r="O47" s="166">
        <f t="shared" si="2"/>
        <v>134449993359</v>
      </c>
      <c r="P47" s="111"/>
      <c r="Q47" s="173"/>
      <c r="R47" s="173"/>
    </row>
    <row r="48" spans="1:19" s="168" customFormat="1" ht="24.95" customHeight="1" thickBot="1" x14ac:dyDescent="0.25">
      <c r="A48" s="109"/>
      <c r="B48" s="131"/>
      <c r="C48" s="131"/>
      <c r="D48" s="131"/>
      <c r="E48" s="131"/>
      <c r="F48" s="131"/>
      <c r="G48" s="131"/>
      <c r="H48" s="131"/>
      <c r="I48" s="132">
        <v>43</v>
      </c>
      <c r="J48" s="133" t="s">
        <v>49</v>
      </c>
      <c r="K48" s="75">
        <v>2301022028507</v>
      </c>
      <c r="L48" s="75">
        <v>-185095000000</v>
      </c>
      <c r="M48" s="178">
        <v>2115927028507</v>
      </c>
      <c r="N48" s="75">
        <v>2150720717</v>
      </c>
      <c r="O48" s="181">
        <f t="shared" si="2"/>
        <v>2113776307790</v>
      </c>
      <c r="P48" s="111"/>
      <c r="Q48" s="173"/>
      <c r="R48" s="173"/>
      <c r="S48" s="174"/>
    </row>
    <row r="49" spans="1:19" s="183" customFormat="1" ht="31.5" customHeight="1" thickBot="1" x14ac:dyDescent="0.3">
      <c r="A49" s="134"/>
      <c r="B49" s="135"/>
      <c r="C49" s="135"/>
      <c r="D49" s="135"/>
      <c r="E49" s="135"/>
      <c r="F49" s="135"/>
      <c r="G49" s="135"/>
      <c r="H49" s="135"/>
      <c r="I49" s="255" t="s">
        <v>50</v>
      </c>
      <c r="J49" s="256"/>
      <c r="K49" s="136">
        <f>K7+K45</f>
        <v>3101852576145</v>
      </c>
      <c r="L49" s="136">
        <f>L7+L45</f>
        <v>-185095000000</v>
      </c>
      <c r="M49" s="136">
        <f>K49+L49</f>
        <v>2916757576145</v>
      </c>
      <c r="N49" s="136">
        <f>N7+N45</f>
        <v>734205024741.10999</v>
      </c>
      <c r="O49" s="182">
        <f>O7+O45</f>
        <v>2182552551403.8901</v>
      </c>
      <c r="P49" s="138"/>
      <c r="R49" s="184"/>
      <c r="S49" s="185"/>
    </row>
    <row r="50" spans="1:19" ht="40.5" customHeight="1" x14ac:dyDescent="0.2">
      <c r="A50" s="109"/>
      <c r="B50" s="112"/>
      <c r="C50" s="112"/>
      <c r="D50" s="112"/>
      <c r="E50" s="112"/>
      <c r="F50" s="112"/>
      <c r="G50" s="112"/>
      <c r="H50" s="112"/>
      <c r="I50" s="250" t="s">
        <v>84</v>
      </c>
      <c r="J50" s="250"/>
      <c r="K50" s="250"/>
      <c r="L50" s="250"/>
      <c r="M50" s="250"/>
      <c r="N50" s="250"/>
      <c r="O50" s="250"/>
      <c r="P50" s="111"/>
      <c r="Q50" s="130"/>
      <c r="R50" s="162"/>
      <c r="S50" s="162"/>
    </row>
    <row r="51" spans="1:19" ht="40.5" customHeight="1" x14ac:dyDescent="0.2">
      <c r="A51" s="109"/>
      <c r="B51" s="112"/>
      <c r="C51" s="112"/>
      <c r="D51" s="112"/>
      <c r="E51" s="112"/>
      <c r="F51" s="112"/>
      <c r="G51" s="112"/>
      <c r="H51" s="112"/>
      <c r="I51" s="115"/>
      <c r="J51" s="115"/>
      <c r="K51" s="115"/>
      <c r="L51" s="115"/>
      <c r="M51" s="115"/>
      <c r="N51" s="115"/>
      <c r="O51" s="115"/>
      <c r="P51" s="111"/>
      <c r="Q51" s="130"/>
      <c r="R51" s="162"/>
      <c r="S51" s="162"/>
    </row>
    <row r="52" spans="1:19" ht="36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254" t="s">
        <v>43</v>
      </c>
      <c r="K52" s="254"/>
      <c r="L52" s="110"/>
      <c r="M52" s="253" t="s">
        <v>42</v>
      </c>
      <c r="N52" s="253"/>
      <c r="O52" s="253"/>
      <c r="P52" s="111"/>
      <c r="R52" s="162"/>
      <c r="S52" s="162"/>
    </row>
    <row r="53" spans="1:19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46" t="s">
        <v>33</v>
      </c>
      <c r="K53" s="246"/>
      <c r="L53" s="141"/>
      <c r="M53" s="247" t="s">
        <v>34</v>
      </c>
      <c r="N53" s="247"/>
      <c r="O53" s="247"/>
      <c r="P53" s="111"/>
      <c r="R53" s="162"/>
      <c r="S53" s="162"/>
    </row>
    <row r="54" spans="1:19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251" t="s">
        <v>35</v>
      </c>
      <c r="K54" s="251"/>
      <c r="L54" s="142"/>
      <c r="M54" s="252" t="s">
        <v>40</v>
      </c>
      <c r="N54" s="252"/>
      <c r="O54" s="252"/>
      <c r="P54" s="111"/>
      <c r="R54" s="162"/>
      <c r="S54" s="162"/>
    </row>
    <row r="55" spans="1:19" ht="15.75" customHeight="1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10"/>
      <c r="K55" s="143"/>
      <c r="L55" s="144"/>
      <c r="M55" s="145"/>
      <c r="N55" s="143"/>
      <c r="O55" s="110"/>
      <c r="P55" s="111"/>
      <c r="R55" s="162"/>
      <c r="S55" s="162"/>
    </row>
    <row r="56" spans="1:19" ht="30" customHeight="1" x14ac:dyDescent="0.2">
      <c r="A56" s="109"/>
      <c r="B56" s="112"/>
      <c r="C56" s="112"/>
      <c r="D56" s="112"/>
      <c r="E56" s="112"/>
      <c r="F56" s="112"/>
      <c r="G56" s="112"/>
      <c r="H56" s="112"/>
      <c r="I56" s="113"/>
      <c r="J56" s="253" t="s">
        <v>44</v>
      </c>
      <c r="K56" s="253"/>
      <c r="L56" s="110"/>
      <c r="M56" s="253" t="s">
        <v>45</v>
      </c>
      <c r="N56" s="253"/>
      <c r="O56" s="253"/>
      <c r="P56" s="111"/>
      <c r="R56" s="162"/>
      <c r="S56" s="162"/>
    </row>
    <row r="57" spans="1:19" x14ac:dyDescent="0.2">
      <c r="A57" s="109"/>
      <c r="B57" s="112"/>
      <c r="C57" s="112"/>
      <c r="D57" s="112"/>
      <c r="E57" s="112"/>
      <c r="F57" s="112"/>
      <c r="G57" s="112"/>
      <c r="H57" s="112"/>
      <c r="I57" s="113"/>
      <c r="J57" s="246" t="s">
        <v>41</v>
      </c>
      <c r="K57" s="246"/>
      <c r="L57" s="145" t="s">
        <v>36</v>
      </c>
      <c r="M57" s="247" t="s">
        <v>37</v>
      </c>
      <c r="N57" s="247"/>
      <c r="O57" s="247"/>
      <c r="P57" s="111"/>
      <c r="R57" s="162"/>
      <c r="S57" s="162"/>
    </row>
    <row r="58" spans="1:19" x14ac:dyDescent="0.2">
      <c r="A58" s="109"/>
      <c r="B58" s="112"/>
      <c r="C58" s="112"/>
      <c r="D58" s="112"/>
      <c r="E58" s="112"/>
      <c r="F58" s="112"/>
      <c r="G58" s="112"/>
      <c r="H58" s="112"/>
      <c r="I58" s="113"/>
      <c r="J58" s="248" t="s">
        <v>38</v>
      </c>
      <c r="K58" s="248"/>
      <c r="L58" s="146"/>
      <c r="M58" s="249" t="s">
        <v>39</v>
      </c>
      <c r="N58" s="249"/>
      <c r="O58" s="249"/>
      <c r="P58" s="111"/>
      <c r="R58" s="162">
        <f>SUM(R50:R57)</f>
        <v>0</v>
      </c>
      <c r="S58" s="162"/>
    </row>
    <row r="59" spans="1:19" ht="13.5" thickBot="1" x14ac:dyDescent="0.25">
      <c r="A59" s="147"/>
      <c r="B59" s="148"/>
      <c r="C59" s="148"/>
      <c r="D59" s="148"/>
      <c r="E59" s="148"/>
      <c r="F59" s="148"/>
      <c r="G59" s="148"/>
      <c r="H59" s="148"/>
      <c r="I59" s="149"/>
      <c r="J59" s="150"/>
      <c r="K59" s="151"/>
      <c r="L59" s="152"/>
      <c r="M59" s="153"/>
      <c r="N59" s="154"/>
      <c r="O59" s="150"/>
      <c r="P59" s="155"/>
    </row>
  </sheetData>
  <mergeCells count="18">
    <mergeCell ref="J56:K56"/>
    <mergeCell ref="M56:O56"/>
    <mergeCell ref="J57:K57"/>
    <mergeCell ref="M57:O57"/>
    <mergeCell ref="J58:K58"/>
    <mergeCell ref="M58:O58"/>
    <mergeCell ref="J52:K52"/>
    <mergeCell ref="M52:O52"/>
    <mergeCell ref="J53:K53"/>
    <mergeCell ref="M53:O53"/>
    <mergeCell ref="J54:K54"/>
    <mergeCell ref="M54:O54"/>
    <mergeCell ref="I50:O50"/>
    <mergeCell ref="B1:O1"/>
    <mergeCell ref="B2:K2"/>
    <mergeCell ref="B4:H4"/>
    <mergeCell ref="B6:H6"/>
    <mergeCell ref="I49:J49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topLeftCell="A48" zoomScaleNormal="100" workbookViewId="0">
      <selection activeCell="A53" sqref="A53:XFD5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9.42578125" style="108" bestFit="1" customWidth="1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58" t="s">
        <v>19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41" t="s">
        <v>20</v>
      </c>
      <c r="C2" s="241"/>
      <c r="D2" s="241"/>
      <c r="E2" s="241"/>
      <c r="F2" s="241"/>
      <c r="G2" s="241"/>
      <c r="H2" s="241"/>
      <c r="I2" s="241"/>
      <c r="J2" s="241"/>
      <c r="K2" s="241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15" t="s">
        <v>21</v>
      </c>
      <c r="J4" s="112" t="s">
        <v>22</v>
      </c>
      <c r="K4" s="110"/>
      <c r="L4" s="116" t="s">
        <v>23</v>
      </c>
      <c r="M4" s="110" t="s">
        <v>88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139</v>
      </c>
      <c r="L6" s="119" t="s">
        <v>140</v>
      </c>
      <c r="M6" s="119" t="s">
        <v>141</v>
      </c>
      <c r="N6" s="119" t="s">
        <v>142</v>
      </c>
      <c r="O6" s="119" t="s">
        <v>143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91</v>
      </c>
      <c r="K7" s="60">
        <f>K8</f>
        <v>190805665239</v>
      </c>
      <c r="L7" s="60">
        <f t="shared" ref="K7:O8" si="0">L8</f>
        <v>-2121344867</v>
      </c>
      <c r="M7" s="60">
        <f t="shared" si="0"/>
        <v>188684320372</v>
      </c>
      <c r="N7" s="60">
        <f t="shared" si="0"/>
        <v>279917570505.88</v>
      </c>
      <c r="O7" s="61">
        <f t="shared" si="0"/>
        <v>-91233250133.880005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223" t="s">
        <v>101</v>
      </c>
      <c r="J8" s="44" t="s">
        <v>5</v>
      </c>
      <c r="K8" s="62">
        <f t="shared" si="0"/>
        <v>190805665239</v>
      </c>
      <c r="L8" s="62">
        <f t="shared" si="0"/>
        <v>-2121344867</v>
      </c>
      <c r="M8" s="62">
        <f t="shared" si="0"/>
        <v>188684320372</v>
      </c>
      <c r="N8" s="62">
        <f t="shared" si="0"/>
        <v>279917570505.88</v>
      </c>
      <c r="O8" s="61">
        <f t="shared" si="0"/>
        <v>-91233250133.880005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223" t="s">
        <v>103</v>
      </c>
      <c r="J9" s="44" t="s">
        <v>5</v>
      </c>
      <c r="K9" s="62">
        <f>K10+K31</f>
        <v>190805665239</v>
      </c>
      <c r="L9" s="62">
        <f>L10+L31</f>
        <v>-2121344867</v>
      </c>
      <c r="M9" s="62">
        <f>M10+M31</f>
        <v>188684320372</v>
      </c>
      <c r="N9" s="62">
        <f>N10+N31</f>
        <v>279917570505.88</v>
      </c>
      <c r="O9" s="61">
        <f>M9-N9</f>
        <v>-91233250133.880005</v>
      </c>
      <c r="P9" s="121"/>
      <c r="R9" s="123"/>
    </row>
    <row r="10" spans="1:22" s="122" customFormat="1" ht="26.2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223" t="s">
        <v>102</v>
      </c>
      <c r="J10" s="44" t="s">
        <v>7</v>
      </c>
      <c r="K10" s="62">
        <f>K11</f>
        <v>189105665239</v>
      </c>
      <c r="L10" s="62">
        <f>L11</f>
        <v>-1955006384</v>
      </c>
      <c r="M10" s="62">
        <f>K10+L10</f>
        <v>187150658855</v>
      </c>
      <c r="N10" s="62">
        <f>N11</f>
        <v>265714609667.14999</v>
      </c>
      <c r="O10" s="61">
        <f t="shared" ref="O10:O48" si="1">M10-N10</f>
        <v>-78563950812.149994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223" t="s">
        <v>104</v>
      </c>
      <c r="J11" s="102" t="s">
        <v>8</v>
      </c>
      <c r="K11" s="103">
        <v>189105665239</v>
      </c>
      <c r="L11" s="103">
        <f>L12+L15+L18</f>
        <v>-1955006384</v>
      </c>
      <c r="M11" s="103">
        <f>K11+L11</f>
        <v>187150658855</v>
      </c>
      <c r="N11" s="103">
        <f>N12+N15+N18+N26</f>
        <v>265714609667.14999</v>
      </c>
      <c r="O11" s="104">
        <f t="shared" si="1"/>
        <v>-78563950812.149994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223" t="s">
        <v>105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255490899178.14999</v>
      </c>
      <c r="O12" s="104">
        <f>M12-N12</f>
        <v>-255490899178.14999</v>
      </c>
      <c r="P12" s="121"/>
    </row>
    <row r="13" spans="1:22" s="167" customFormat="1" ht="18" customHeight="1" x14ac:dyDescent="0.2">
      <c r="A13" s="120"/>
      <c r="B13" s="33"/>
      <c r="C13" s="34"/>
      <c r="D13" s="35"/>
      <c r="E13" s="34"/>
      <c r="F13" s="35"/>
      <c r="G13" s="34"/>
      <c r="H13" s="34"/>
      <c r="I13" s="224" t="s">
        <v>106</v>
      </c>
      <c r="J13" s="164" t="s">
        <v>75</v>
      </c>
      <c r="K13" s="103">
        <v>0</v>
      </c>
      <c r="L13" s="103">
        <v>0</v>
      </c>
      <c r="M13" s="103">
        <v>0</v>
      </c>
      <c r="N13" s="165">
        <f>4945980000+556350688</f>
        <v>5502330688</v>
      </c>
      <c r="O13" s="166">
        <f>M13-N13</f>
        <v>-5502330688</v>
      </c>
      <c r="P13" s="121"/>
    </row>
    <row r="14" spans="1:22" s="168" customFormat="1" ht="18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224" t="s">
        <v>107</v>
      </c>
      <c r="J14" s="164" t="s">
        <v>10</v>
      </c>
      <c r="K14" s="165">
        <v>0</v>
      </c>
      <c r="L14" s="165">
        <v>0</v>
      </c>
      <c r="M14" s="165">
        <v>0</v>
      </c>
      <c r="N14" s="165">
        <f>15834808561+54563706869.15+15896717950+17769247126+15777249110+16819635618+18338971900+17699504701+19319412671+19069318357+17340146175+21559849452</f>
        <v>249988568490.14999</v>
      </c>
      <c r="O14" s="166">
        <f t="shared" si="1"/>
        <v>-249988568490.14999</v>
      </c>
      <c r="P14" s="111"/>
    </row>
    <row r="15" spans="1:22" s="167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223" t="s">
        <v>108</v>
      </c>
      <c r="J15" s="102" t="s">
        <v>11</v>
      </c>
      <c r="K15" s="103">
        <v>0</v>
      </c>
      <c r="L15" s="103">
        <v>0</v>
      </c>
      <c r="M15" s="103">
        <v>0</v>
      </c>
      <c r="N15" s="103">
        <f>N17</f>
        <v>7526592415</v>
      </c>
      <c r="O15" s="104">
        <f t="shared" si="1"/>
        <v>-7526592415</v>
      </c>
      <c r="P15" s="121"/>
    </row>
    <row r="16" spans="1:22" s="167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223" t="s">
        <v>109</v>
      </c>
      <c r="J16" s="102" t="s">
        <v>52</v>
      </c>
      <c r="K16" s="103">
        <v>0</v>
      </c>
      <c r="L16" s="103">
        <v>0</v>
      </c>
      <c r="M16" s="103">
        <f>K16-L16</f>
        <v>0</v>
      </c>
      <c r="N16" s="103">
        <f>N17</f>
        <v>7526592415</v>
      </c>
      <c r="O16" s="104">
        <f t="shared" si="1"/>
        <v>-7526592415</v>
      </c>
      <c r="P16" s="121"/>
    </row>
    <row r="17" spans="1:18" s="168" customFormat="1" ht="17.2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224" t="s">
        <v>110</v>
      </c>
      <c r="J17" s="164" t="s">
        <v>12</v>
      </c>
      <c r="K17" s="165">
        <v>0</v>
      </c>
      <c r="L17" s="165">
        <v>0</v>
      </c>
      <c r="M17" s="165">
        <v>0</v>
      </c>
      <c r="N17" s="165">
        <f>2273136243+2236946051+6917490+3458745+4140580+2522661376+177496+11932439+15348678+10376235+441497082</f>
        <v>7526592415</v>
      </c>
      <c r="O17" s="166">
        <f t="shared" si="1"/>
        <v>-7526592415</v>
      </c>
      <c r="P17" s="111"/>
    </row>
    <row r="18" spans="1:18" s="167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223" t="s">
        <v>111</v>
      </c>
      <c r="J18" s="102" t="s">
        <v>13</v>
      </c>
      <c r="K18" s="103">
        <v>189105665239</v>
      </c>
      <c r="L18" s="103">
        <v>-1955006384</v>
      </c>
      <c r="M18" s="103">
        <f>K18+L18</f>
        <v>187150658855</v>
      </c>
      <c r="N18" s="103">
        <f>N19</f>
        <v>494048174</v>
      </c>
      <c r="O18" s="104">
        <f>M18-N18</f>
        <v>186656610681</v>
      </c>
      <c r="P18" s="121"/>
    </row>
    <row r="19" spans="1:18" s="167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223" t="s">
        <v>112</v>
      </c>
      <c r="J19" s="102" t="s">
        <v>53</v>
      </c>
      <c r="K19" s="103">
        <v>0</v>
      </c>
      <c r="L19" s="103">
        <v>0</v>
      </c>
      <c r="M19" s="103">
        <f>K19-L19</f>
        <v>0</v>
      </c>
      <c r="N19" s="103">
        <f>N20+N23</f>
        <v>494048174</v>
      </c>
      <c r="O19" s="104">
        <f t="shared" si="1"/>
        <v>-494048174</v>
      </c>
      <c r="P19" s="121"/>
    </row>
    <row r="20" spans="1:18" s="167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223" t="s">
        <v>113</v>
      </c>
      <c r="J20" s="102" t="s">
        <v>67</v>
      </c>
      <c r="K20" s="169"/>
      <c r="L20" s="169"/>
      <c r="M20" s="103"/>
      <c r="N20" s="103">
        <f>N21</f>
        <v>486646958</v>
      </c>
      <c r="O20" s="104">
        <f t="shared" si="1"/>
        <v>-486646958</v>
      </c>
      <c r="P20" s="121"/>
    </row>
    <row r="21" spans="1:18" s="167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223" t="s">
        <v>114</v>
      </c>
      <c r="J21" s="102" t="s">
        <v>68</v>
      </c>
      <c r="K21" s="169"/>
      <c r="L21" s="169"/>
      <c r="M21" s="103"/>
      <c r="N21" s="103">
        <f>N22</f>
        <v>486646958</v>
      </c>
      <c r="O21" s="104">
        <f t="shared" si="1"/>
        <v>-486646958</v>
      </c>
      <c r="P21" s="121"/>
    </row>
    <row r="22" spans="1:18" s="167" customFormat="1" ht="26.25" customHeight="1" x14ac:dyDescent="0.2">
      <c r="A22" s="120"/>
      <c r="B22" s="33"/>
      <c r="C22" s="34"/>
      <c r="D22" s="35"/>
      <c r="E22" s="34"/>
      <c r="F22" s="35"/>
      <c r="G22" s="34"/>
      <c r="H22" s="35"/>
      <c r="I22" s="224" t="s">
        <v>115</v>
      </c>
      <c r="J22" s="170" t="s">
        <v>69</v>
      </c>
      <c r="K22" s="169"/>
      <c r="L22" s="169"/>
      <c r="M22" s="165"/>
      <c r="N22" s="165">
        <f>47778578+60799563+62513922+51927478+84276921+92196554+87153942</f>
        <v>486646958</v>
      </c>
      <c r="O22" s="166">
        <f t="shared" si="1"/>
        <v>-486646958</v>
      </c>
      <c r="P22" s="121"/>
    </row>
    <row r="23" spans="1:18" s="167" customFormat="1" ht="28.5" customHeight="1" x14ac:dyDescent="0.2">
      <c r="A23" s="120"/>
      <c r="B23" s="33"/>
      <c r="C23" s="34"/>
      <c r="D23" s="35"/>
      <c r="E23" s="34"/>
      <c r="F23" s="35"/>
      <c r="G23" s="34"/>
      <c r="H23" s="35"/>
      <c r="I23" s="223" t="s">
        <v>116</v>
      </c>
      <c r="J23" s="102" t="s">
        <v>54</v>
      </c>
      <c r="K23" s="103">
        <v>0</v>
      </c>
      <c r="L23" s="103">
        <v>0</v>
      </c>
      <c r="M23" s="103">
        <f t="shared" ref="M23:M24" si="2">K23-L23</f>
        <v>0</v>
      </c>
      <c r="N23" s="103">
        <f>N24</f>
        <v>7401216</v>
      </c>
      <c r="O23" s="104">
        <f t="shared" si="1"/>
        <v>-7401216</v>
      </c>
      <c r="P23" s="121"/>
    </row>
    <row r="24" spans="1:18" s="167" customFormat="1" ht="43.5" customHeight="1" x14ac:dyDescent="0.2">
      <c r="A24" s="120"/>
      <c r="B24" s="33"/>
      <c r="C24" s="34"/>
      <c r="D24" s="35"/>
      <c r="E24" s="34"/>
      <c r="F24" s="35"/>
      <c r="G24" s="34"/>
      <c r="H24" s="35"/>
      <c r="I24" s="223" t="s">
        <v>117</v>
      </c>
      <c r="J24" s="102" t="s">
        <v>55</v>
      </c>
      <c r="K24" s="103">
        <v>0</v>
      </c>
      <c r="L24" s="103">
        <v>0</v>
      </c>
      <c r="M24" s="103">
        <f t="shared" si="2"/>
        <v>0</v>
      </c>
      <c r="N24" s="103">
        <f>N25</f>
        <v>7401216</v>
      </c>
      <c r="O24" s="104">
        <f t="shared" si="1"/>
        <v>-7401216</v>
      </c>
      <c r="P24" s="121"/>
    </row>
    <row r="25" spans="1:18" s="168" customFormat="1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224" t="s">
        <v>118</v>
      </c>
      <c r="J25" s="164" t="s">
        <v>14</v>
      </c>
      <c r="K25" s="165">
        <v>0</v>
      </c>
      <c r="L25" s="165">
        <v>0</v>
      </c>
      <c r="M25" s="165">
        <v>0</v>
      </c>
      <c r="N25" s="165">
        <f>83063+202884+1571271+1328227+1249323+14645+1155089+126136+384737+760475+254656+270710</f>
        <v>7401216</v>
      </c>
      <c r="O25" s="166">
        <f t="shared" si="1"/>
        <v>-7401216</v>
      </c>
      <c r="P25" s="111"/>
    </row>
    <row r="26" spans="1:18" s="167" customFormat="1" ht="27.75" customHeight="1" x14ac:dyDescent="0.2">
      <c r="A26" s="120"/>
      <c r="B26" s="33"/>
      <c r="C26" s="34"/>
      <c r="D26" s="35"/>
      <c r="E26" s="34"/>
      <c r="F26" s="35"/>
      <c r="G26" s="34"/>
      <c r="H26" s="35"/>
      <c r="I26" s="223" t="s">
        <v>124</v>
      </c>
      <c r="J26" s="102" t="s">
        <v>62</v>
      </c>
      <c r="K26" s="103">
        <v>0</v>
      </c>
      <c r="L26" s="103">
        <v>0</v>
      </c>
      <c r="M26" s="103">
        <v>0</v>
      </c>
      <c r="N26" s="103">
        <f>+N29+N28+N27</f>
        <v>2203069900</v>
      </c>
      <c r="O26" s="104">
        <f t="shared" si="1"/>
        <v>-2203069900</v>
      </c>
      <c r="P26" s="121"/>
    </row>
    <row r="27" spans="1:18" s="167" customFormat="1" ht="24.75" customHeight="1" x14ac:dyDescent="0.2">
      <c r="A27" s="120"/>
      <c r="B27" s="33"/>
      <c r="C27" s="34"/>
      <c r="D27" s="35"/>
      <c r="E27" s="34"/>
      <c r="F27" s="35"/>
      <c r="G27" s="34"/>
      <c r="H27" s="35"/>
      <c r="I27" s="223" t="s">
        <v>123</v>
      </c>
      <c r="J27" s="102" t="s">
        <v>89</v>
      </c>
      <c r="K27" s="103">
        <v>0</v>
      </c>
      <c r="L27" s="103">
        <v>0</v>
      </c>
      <c r="M27" s="103">
        <f>K27-L27</f>
        <v>0</v>
      </c>
      <c r="N27" s="103">
        <v>5770034</v>
      </c>
      <c r="O27" s="104">
        <f>M27-N27</f>
        <v>-5770034</v>
      </c>
      <c r="P27" s="121"/>
    </row>
    <row r="28" spans="1:18" s="167" customFormat="1" ht="25.5" customHeight="1" x14ac:dyDescent="0.2">
      <c r="A28" s="120"/>
      <c r="B28" s="33"/>
      <c r="C28" s="34"/>
      <c r="D28" s="35"/>
      <c r="E28" s="34"/>
      <c r="F28" s="35"/>
      <c r="G28" s="34"/>
      <c r="H28" s="35"/>
      <c r="I28" s="223" t="s">
        <v>122</v>
      </c>
      <c r="J28" s="102" t="s">
        <v>61</v>
      </c>
      <c r="K28" s="103">
        <v>0</v>
      </c>
      <c r="L28" s="103">
        <v>0</v>
      </c>
      <c r="M28" s="103">
        <v>0</v>
      </c>
      <c r="N28" s="103">
        <f>649305893+48450500</f>
        <v>697756393</v>
      </c>
      <c r="O28" s="104">
        <f t="shared" si="1"/>
        <v>-697756393</v>
      </c>
      <c r="P28" s="121"/>
      <c r="R28" s="225"/>
    </row>
    <row r="29" spans="1:18" s="167" customFormat="1" ht="25.5" customHeight="1" x14ac:dyDescent="0.2">
      <c r="A29" s="120"/>
      <c r="B29" s="33"/>
      <c r="C29" s="34"/>
      <c r="D29" s="35"/>
      <c r="E29" s="34"/>
      <c r="F29" s="35"/>
      <c r="G29" s="34"/>
      <c r="H29" s="35"/>
      <c r="I29" s="223" t="s">
        <v>121</v>
      </c>
      <c r="J29" s="102" t="s">
        <v>86</v>
      </c>
      <c r="K29" s="103">
        <v>0</v>
      </c>
      <c r="L29" s="103">
        <v>0</v>
      </c>
      <c r="M29" s="103">
        <f>K29-L29</f>
        <v>0</v>
      </c>
      <c r="N29" s="103">
        <f>N30</f>
        <v>1499543473</v>
      </c>
      <c r="O29" s="104">
        <f>O30</f>
        <v>-1499543473</v>
      </c>
      <c r="P29" s="121"/>
      <c r="R29" s="225"/>
    </row>
    <row r="30" spans="1:18" s="168" customFormat="1" ht="15" customHeight="1" x14ac:dyDescent="0.2">
      <c r="A30" s="109"/>
      <c r="B30" s="33"/>
      <c r="C30" s="34"/>
      <c r="D30" s="35"/>
      <c r="E30" s="34"/>
      <c r="F30" s="35"/>
      <c r="G30" s="34"/>
      <c r="H30" s="35"/>
      <c r="I30" s="224" t="s">
        <v>120</v>
      </c>
      <c r="J30" s="164" t="s">
        <v>87</v>
      </c>
      <c r="K30" s="165">
        <v>0</v>
      </c>
      <c r="L30" s="165">
        <v>0</v>
      </c>
      <c r="M30" s="165">
        <f>K30-L30</f>
        <v>0</v>
      </c>
      <c r="N30" s="165">
        <v>1499543473</v>
      </c>
      <c r="O30" s="166">
        <f>M30-N30</f>
        <v>-1499543473</v>
      </c>
      <c r="P30" s="111"/>
      <c r="R30" s="171"/>
    </row>
    <row r="31" spans="1:18" s="167" customFormat="1" ht="29.2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/>
      <c r="G31" s="34"/>
      <c r="H31" s="35"/>
      <c r="I31" s="223" t="s">
        <v>119</v>
      </c>
      <c r="J31" s="102" t="s">
        <v>0</v>
      </c>
      <c r="K31" s="103">
        <f>K32+K41</f>
        <v>1700000000</v>
      </c>
      <c r="L31" s="103">
        <f>L32</f>
        <v>-166338483</v>
      </c>
      <c r="M31" s="103">
        <f>M32+M41</f>
        <v>1533661517</v>
      </c>
      <c r="N31" s="103">
        <f>N32+N34+N41</f>
        <v>14202960838.73</v>
      </c>
      <c r="O31" s="104">
        <f>M31-N31</f>
        <v>-12669299321.73</v>
      </c>
      <c r="P31" s="121"/>
      <c r="R31" s="172"/>
    </row>
    <row r="32" spans="1:18" s="168" customFormat="1" ht="26.25" customHeight="1" x14ac:dyDescent="0.2">
      <c r="A32" s="109"/>
      <c r="B32" s="33">
        <v>3</v>
      </c>
      <c r="C32" s="34">
        <v>1</v>
      </c>
      <c r="D32" s="35" t="s">
        <v>6</v>
      </c>
      <c r="E32" s="34">
        <v>2</v>
      </c>
      <c r="F32" s="35" t="s">
        <v>3</v>
      </c>
      <c r="G32" s="34"/>
      <c r="H32" s="35"/>
      <c r="I32" s="223" t="s">
        <v>125</v>
      </c>
      <c r="J32" s="102" t="s">
        <v>15</v>
      </c>
      <c r="K32" s="103">
        <v>1700000000</v>
      </c>
      <c r="L32" s="103">
        <v>-166338483</v>
      </c>
      <c r="M32" s="103">
        <f>K32+L32</f>
        <v>1533661517</v>
      </c>
      <c r="N32" s="103">
        <v>1700000000</v>
      </c>
      <c r="O32" s="104">
        <f t="shared" si="1"/>
        <v>-166338483</v>
      </c>
      <c r="P32" s="111"/>
      <c r="R32" s="173"/>
    </row>
    <row r="33" spans="1:18" s="168" customFormat="1" ht="16.5" customHeight="1" x14ac:dyDescent="0.2">
      <c r="A33" s="109"/>
      <c r="B33" s="33"/>
      <c r="C33" s="34"/>
      <c r="D33" s="35"/>
      <c r="E33" s="34"/>
      <c r="F33" s="35"/>
      <c r="G33" s="34"/>
      <c r="H33" s="35"/>
      <c r="I33" s="224" t="s">
        <v>126</v>
      </c>
      <c r="J33" s="164" t="s">
        <v>57</v>
      </c>
      <c r="K33" s="165">
        <v>0</v>
      </c>
      <c r="L33" s="165">
        <v>0</v>
      </c>
      <c r="M33" s="165">
        <f>K33-L33</f>
        <v>0</v>
      </c>
      <c r="N33" s="165">
        <v>1700000000</v>
      </c>
      <c r="O33" s="166">
        <f t="shared" si="1"/>
        <v>-1700000000</v>
      </c>
      <c r="P33" s="111"/>
    </row>
    <row r="34" spans="1:18" s="167" customFormat="1" ht="19.5" customHeight="1" x14ac:dyDescent="0.2">
      <c r="A34" s="120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/>
      <c r="H34" s="35"/>
      <c r="I34" s="223" t="s">
        <v>127</v>
      </c>
      <c r="J34" s="102" t="s">
        <v>2</v>
      </c>
      <c r="K34" s="103">
        <v>0</v>
      </c>
      <c r="L34" s="103">
        <v>0</v>
      </c>
      <c r="M34" s="103">
        <v>0</v>
      </c>
      <c r="N34" s="103">
        <f>N36+N38+N39</f>
        <v>11588933964.889999</v>
      </c>
      <c r="O34" s="104">
        <f t="shared" si="1"/>
        <v>-11588933964.889999</v>
      </c>
      <c r="P34" s="121"/>
      <c r="R34" s="172"/>
    </row>
    <row r="35" spans="1:18" s="167" customFormat="1" ht="24.75" customHeight="1" x14ac:dyDescent="0.2">
      <c r="A35" s="120"/>
      <c r="B35" s="33"/>
      <c r="C35" s="34"/>
      <c r="D35" s="35"/>
      <c r="E35" s="34"/>
      <c r="F35" s="35"/>
      <c r="G35" s="34"/>
      <c r="H35" s="35"/>
      <c r="I35" s="223" t="s">
        <v>128</v>
      </c>
      <c r="J35" s="102" t="s">
        <v>56</v>
      </c>
      <c r="K35" s="103">
        <v>0</v>
      </c>
      <c r="L35" s="103">
        <v>0</v>
      </c>
      <c r="M35" s="103">
        <f>K35-L35</f>
        <v>0</v>
      </c>
      <c r="N35" s="103">
        <f>N36+N38</f>
        <v>11484998581.84</v>
      </c>
      <c r="O35" s="104">
        <f t="shared" si="1"/>
        <v>-11484998581.84</v>
      </c>
      <c r="P35" s="121"/>
    </row>
    <row r="36" spans="1:18" s="168" customFormat="1" ht="25.5" customHeight="1" x14ac:dyDescent="0.2">
      <c r="A36" s="109"/>
      <c r="B36" s="33">
        <v>3</v>
      </c>
      <c r="C36" s="34">
        <v>1</v>
      </c>
      <c r="D36" s="35" t="s">
        <v>6</v>
      </c>
      <c r="E36" s="34">
        <v>2</v>
      </c>
      <c r="F36" s="35" t="s">
        <v>1</v>
      </c>
      <c r="G36" s="34">
        <v>1</v>
      </c>
      <c r="H36" s="35" t="s">
        <v>3</v>
      </c>
      <c r="I36" s="223" t="s">
        <v>129</v>
      </c>
      <c r="J36" s="102" t="s">
        <v>4</v>
      </c>
      <c r="K36" s="103">
        <v>0</v>
      </c>
      <c r="L36" s="103">
        <v>0</v>
      </c>
      <c r="M36" s="103">
        <v>0</v>
      </c>
      <c r="N36" s="103">
        <f>2657468.69+25469957.1+1364245.06+3026746.96+107824833.19+9140375.04+361945460.49+12754771.08+8596082.06+347347480.16+8874776.86+23816546.48</f>
        <v>912818743.16999996</v>
      </c>
      <c r="O36" s="104">
        <f t="shared" si="1"/>
        <v>-912818743.16999996</v>
      </c>
      <c r="P36" s="111"/>
    </row>
    <row r="37" spans="1:18" s="168" customFormat="1" ht="18.75" customHeight="1" x14ac:dyDescent="0.2">
      <c r="A37" s="109"/>
      <c r="B37" s="33"/>
      <c r="C37" s="34"/>
      <c r="D37" s="35"/>
      <c r="E37" s="34"/>
      <c r="F37" s="35"/>
      <c r="G37" s="34"/>
      <c r="H37" s="35"/>
      <c r="I37" s="224" t="s">
        <v>130</v>
      </c>
      <c r="J37" s="164" t="s">
        <v>65</v>
      </c>
      <c r="K37" s="165">
        <v>0</v>
      </c>
      <c r="L37" s="165">
        <v>0</v>
      </c>
      <c r="M37" s="165">
        <f>K37-L37</f>
        <v>0</v>
      </c>
      <c r="N37" s="165">
        <f>3026746.96+107824833.19+9140375.04+361945460.49+12754771.08+8596082.06+347347480.16+8874776.86+23816546.48</f>
        <v>883327072.32000005</v>
      </c>
      <c r="O37" s="166">
        <f t="shared" si="1"/>
        <v>-883327072.32000005</v>
      </c>
      <c r="P37" s="111"/>
      <c r="R37" s="173"/>
    </row>
    <row r="38" spans="1:18" s="168" customFormat="1" ht="24.95" customHeight="1" x14ac:dyDescent="0.2">
      <c r="A38" s="109"/>
      <c r="B38" s="33">
        <v>3</v>
      </c>
      <c r="C38" s="34">
        <v>1</v>
      </c>
      <c r="D38" s="35" t="s">
        <v>6</v>
      </c>
      <c r="E38" s="34">
        <v>2</v>
      </c>
      <c r="F38" s="35" t="s">
        <v>1</v>
      </c>
      <c r="G38" s="34">
        <v>1</v>
      </c>
      <c r="H38" s="35" t="s">
        <v>16</v>
      </c>
      <c r="I38" s="223" t="s">
        <v>131</v>
      </c>
      <c r="J38" s="102" t="s">
        <v>17</v>
      </c>
      <c r="K38" s="103">
        <v>0</v>
      </c>
      <c r="L38" s="103">
        <v>0</v>
      </c>
      <c r="M38" s="103">
        <v>0</v>
      </c>
      <c r="N38" s="103">
        <f>321269509.38+7913502298.75+14616043.99+2322791986.55</f>
        <v>10572179838.67</v>
      </c>
      <c r="O38" s="104">
        <f t="shared" si="1"/>
        <v>-10572179838.67</v>
      </c>
      <c r="P38" s="111"/>
      <c r="R38" s="174"/>
    </row>
    <row r="39" spans="1:18" s="167" customFormat="1" ht="24.95" customHeight="1" x14ac:dyDescent="0.2">
      <c r="A39" s="120"/>
      <c r="B39" s="94"/>
      <c r="C39" s="95"/>
      <c r="D39" s="96"/>
      <c r="E39" s="95"/>
      <c r="F39" s="96"/>
      <c r="G39" s="95"/>
      <c r="H39" s="96"/>
      <c r="I39" s="223" t="s">
        <v>132</v>
      </c>
      <c r="J39" s="175" t="s">
        <v>71</v>
      </c>
      <c r="K39" s="176">
        <v>0</v>
      </c>
      <c r="L39" s="103">
        <v>0</v>
      </c>
      <c r="M39" s="103">
        <v>0</v>
      </c>
      <c r="N39" s="176">
        <f>N40</f>
        <v>103935383.05000001</v>
      </c>
      <c r="O39" s="104">
        <f t="shared" si="1"/>
        <v>-103935383.05000001</v>
      </c>
      <c r="P39" s="121"/>
    </row>
    <row r="40" spans="1:18" s="168" customFormat="1" ht="15.75" customHeight="1" x14ac:dyDescent="0.2">
      <c r="A40" s="109"/>
      <c r="B40" s="94"/>
      <c r="C40" s="95"/>
      <c r="D40" s="96"/>
      <c r="E40" s="95"/>
      <c r="F40" s="96"/>
      <c r="G40" s="95"/>
      <c r="H40" s="96"/>
      <c r="I40" s="224" t="s">
        <v>133</v>
      </c>
      <c r="J40" s="177" t="s">
        <v>72</v>
      </c>
      <c r="K40" s="178">
        <v>0</v>
      </c>
      <c r="L40" s="165">
        <v>0</v>
      </c>
      <c r="M40" s="165">
        <v>0</v>
      </c>
      <c r="N40" s="178">
        <f>12433073.97+11949990.96+9419667.01+15344345.64+12392616.31+11124990.48+15785499.39+15485199.29</f>
        <v>103935383.05000001</v>
      </c>
      <c r="O40" s="166">
        <f t="shared" si="1"/>
        <v>-103935383.05000001</v>
      </c>
      <c r="P40" s="111"/>
    </row>
    <row r="41" spans="1:18" s="167" customFormat="1" ht="24.95" customHeight="1" thickBot="1" x14ac:dyDescent="0.25">
      <c r="A41" s="120"/>
      <c r="B41" s="36">
        <v>3</v>
      </c>
      <c r="C41" s="37">
        <v>1</v>
      </c>
      <c r="D41" s="38" t="s">
        <v>6</v>
      </c>
      <c r="E41" s="37">
        <v>2</v>
      </c>
      <c r="F41" s="38">
        <v>13</v>
      </c>
      <c r="G41" s="37"/>
      <c r="H41" s="38"/>
      <c r="I41" s="223" t="s">
        <v>134</v>
      </c>
      <c r="J41" s="175" t="s">
        <v>18</v>
      </c>
      <c r="K41" s="176">
        <v>0</v>
      </c>
      <c r="L41" s="176">
        <v>0</v>
      </c>
      <c r="M41" s="176">
        <v>0</v>
      </c>
      <c r="N41" s="176">
        <f>890358081+N42</f>
        <v>914026873.84000003</v>
      </c>
      <c r="O41" s="104">
        <f>N41</f>
        <v>914026873.84000003</v>
      </c>
      <c r="P41" s="121"/>
      <c r="R41" s="172"/>
    </row>
    <row r="42" spans="1:18" s="167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223" t="s">
        <v>135</v>
      </c>
      <c r="J42" s="102" t="s">
        <v>59</v>
      </c>
      <c r="K42" s="103">
        <v>0</v>
      </c>
      <c r="L42" s="103">
        <v>0</v>
      </c>
      <c r="M42" s="103">
        <v>0</v>
      </c>
      <c r="N42" s="103">
        <f>N43+N44+N45</f>
        <v>23668792.84</v>
      </c>
      <c r="O42" s="104">
        <f>O43+O44+O45</f>
        <v>-23668792.84</v>
      </c>
      <c r="P42" s="121"/>
    </row>
    <row r="43" spans="1:18" s="167" customFormat="1" ht="20.25" customHeight="1" x14ac:dyDescent="0.2">
      <c r="A43" s="120"/>
      <c r="B43" s="46"/>
      <c r="C43" s="46"/>
      <c r="D43" s="47"/>
      <c r="E43" s="46"/>
      <c r="F43" s="47"/>
      <c r="G43" s="46"/>
      <c r="H43" s="47"/>
      <c r="I43" s="224" t="s">
        <v>136</v>
      </c>
      <c r="J43" s="164" t="s">
        <v>64</v>
      </c>
      <c r="K43" s="103">
        <v>0</v>
      </c>
      <c r="L43" s="103">
        <v>0</v>
      </c>
      <c r="M43" s="103">
        <f>K43-L43</f>
        <v>0</v>
      </c>
      <c r="N43" s="165">
        <f>5850637+351626+5227639+46601+5937057+233636+36038</f>
        <v>17683234</v>
      </c>
      <c r="O43" s="166">
        <f t="shared" si="1"/>
        <v>-17683234</v>
      </c>
      <c r="P43" s="121"/>
    </row>
    <row r="44" spans="1:18" s="167" customFormat="1" ht="20.25" customHeight="1" x14ac:dyDescent="0.2">
      <c r="A44" s="120"/>
      <c r="B44" s="46"/>
      <c r="C44" s="46"/>
      <c r="D44" s="47"/>
      <c r="E44" s="46"/>
      <c r="F44" s="47"/>
      <c r="G44" s="46"/>
      <c r="H44" s="47"/>
      <c r="I44" s="224" t="s">
        <v>137</v>
      </c>
      <c r="J44" s="164" t="s">
        <v>60</v>
      </c>
      <c r="K44" s="165">
        <v>0</v>
      </c>
      <c r="L44" s="165">
        <v>0</v>
      </c>
      <c r="M44" s="165">
        <v>0</v>
      </c>
      <c r="N44" s="165">
        <f>37864.84+10352+387871+387871+388000+4773600</f>
        <v>5985558.8399999999</v>
      </c>
      <c r="O44" s="166">
        <f t="shared" si="1"/>
        <v>-5985558.8399999999</v>
      </c>
      <c r="P44" s="121"/>
    </row>
    <row r="45" spans="1:18" s="167" customFormat="1" ht="20.25" customHeight="1" x14ac:dyDescent="0.2">
      <c r="A45" s="120"/>
      <c r="B45" s="46"/>
      <c r="C45" s="46"/>
      <c r="D45" s="47"/>
      <c r="E45" s="46"/>
      <c r="F45" s="47"/>
      <c r="G45" s="46"/>
      <c r="H45" s="47"/>
      <c r="I45" s="224" t="s">
        <v>138</v>
      </c>
      <c r="J45" s="164" t="s">
        <v>70</v>
      </c>
      <c r="K45" s="179">
        <v>0</v>
      </c>
      <c r="L45" s="179">
        <v>0</v>
      </c>
      <c r="M45" s="179">
        <f>K45-L45</f>
        <v>0</v>
      </c>
      <c r="N45" s="179">
        <v>0</v>
      </c>
      <c r="O45" s="166">
        <v>0</v>
      </c>
      <c r="P45" s="121"/>
    </row>
    <row r="46" spans="1:18" s="167" customFormat="1" ht="24.95" customHeight="1" x14ac:dyDescent="0.2">
      <c r="A46" s="120"/>
      <c r="B46" s="46"/>
      <c r="C46" s="46"/>
      <c r="D46" s="47"/>
      <c r="E46" s="46"/>
      <c r="F46" s="47"/>
      <c r="G46" s="46"/>
      <c r="H46" s="47"/>
      <c r="I46" s="126">
        <v>4</v>
      </c>
      <c r="J46" s="127" t="s">
        <v>90</v>
      </c>
      <c r="K46" s="180">
        <f>K47+K48+K49</f>
        <v>2911046910906</v>
      </c>
      <c r="L46" s="180">
        <f>L47+L48+L49</f>
        <v>-223336213333</v>
      </c>
      <c r="M46" s="180">
        <f>K46+L46</f>
        <v>2687710697573</v>
      </c>
      <c r="N46" s="180">
        <f>N47+N48+N49</f>
        <v>2685740065688.3501</v>
      </c>
      <c r="O46" s="104">
        <f>M46-N46</f>
        <v>1970631884.6499023</v>
      </c>
      <c r="P46" s="121"/>
      <c r="Q46" s="172"/>
      <c r="R46" s="172"/>
    </row>
    <row r="47" spans="1:18" s="168" customFormat="1" ht="19.5" customHeight="1" x14ac:dyDescent="0.2">
      <c r="A47" s="109"/>
      <c r="B47" s="46"/>
      <c r="C47" s="46"/>
      <c r="D47" s="47"/>
      <c r="E47" s="46"/>
      <c r="F47" s="47"/>
      <c r="G47" s="46"/>
      <c r="H47" s="47"/>
      <c r="I47" s="128">
        <v>41</v>
      </c>
      <c r="J47" s="129" t="s">
        <v>47</v>
      </c>
      <c r="K47" s="165">
        <v>1741000000</v>
      </c>
      <c r="L47" s="103">
        <v>0</v>
      </c>
      <c r="M47" s="165">
        <v>1741000000</v>
      </c>
      <c r="N47" s="165">
        <v>0</v>
      </c>
      <c r="O47" s="166">
        <f t="shared" si="1"/>
        <v>1741000000</v>
      </c>
      <c r="P47" s="111"/>
      <c r="R47" s="173"/>
    </row>
    <row r="48" spans="1:18" s="168" customFormat="1" ht="19.5" customHeight="1" thickBot="1" x14ac:dyDescent="0.25">
      <c r="A48" s="109"/>
      <c r="B48" s="46"/>
      <c r="C48" s="46"/>
      <c r="D48" s="47"/>
      <c r="E48" s="46"/>
      <c r="F48" s="47"/>
      <c r="G48" s="46"/>
      <c r="H48" s="47"/>
      <c r="I48" s="128">
        <v>42</v>
      </c>
      <c r="J48" s="129" t="s">
        <v>48</v>
      </c>
      <c r="K48" s="165">
        <v>608283882399</v>
      </c>
      <c r="L48" s="103">
        <v>0</v>
      </c>
      <c r="M48" s="165">
        <v>608283882399</v>
      </c>
      <c r="N48" s="63">
        <v>608283882398.34998</v>
      </c>
      <c r="O48" s="166">
        <f t="shared" si="1"/>
        <v>0.6500244140625</v>
      </c>
      <c r="P48" s="111"/>
      <c r="Q48" s="184"/>
      <c r="R48" s="173"/>
    </row>
    <row r="49" spans="1:18" s="168" customFormat="1" ht="18.75" customHeight="1" thickBot="1" x14ac:dyDescent="0.25">
      <c r="A49" s="109"/>
      <c r="B49" s="131"/>
      <c r="C49" s="131"/>
      <c r="D49" s="131"/>
      <c r="E49" s="131"/>
      <c r="F49" s="131"/>
      <c r="G49" s="131"/>
      <c r="H49" s="131"/>
      <c r="I49" s="132">
        <v>43</v>
      </c>
      <c r="J49" s="133" t="s">
        <v>49</v>
      </c>
      <c r="K49" s="75">
        <v>2301022028507</v>
      </c>
      <c r="L49" s="75">
        <f>-(K49-M49)</f>
        <v>-223336213333</v>
      </c>
      <c r="M49" s="178">
        <v>2077685815174</v>
      </c>
      <c r="N49" s="75">
        <v>2077456183290</v>
      </c>
      <c r="O49" s="181">
        <f>M49-N49</f>
        <v>229631884</v>
      </c>
      <c r="P49" s="111"/>
      <c r="Q49" s="173"/>
      <c r="R49" s="173"/>
    </row>
    <row r="50" spans="1:18" s="183" customFormat="1" ht="31.5" customHeight="1" thickBot="1" x14ac:dyDescent="0.3">
      <c r="A50" s="134"/>
      <c r="B50" s="135"/>
      <c r="C50" s="135"/>
      <c r="D50" s="135"/>
      <c r="E50" s="135"/>
      <c r="F50" s="135"/>
      <c r="G50" s="135"/>
      <c r="H50" s="135"/>
      <c r="I50" s="255" t="s">
        <v>50</v>
      </c>
      <c r="J50" s="256"/>
      <c r="K50" s="136">
        <f>K7+K46</f>
        <v>3101852576145</v>
      </c>
      <c r="L50" s="136">
        <f>L7+L46</f>
        <v>-225457558200</v>
      </c>
      <c r="M50" s="136">
        <f>K50+L50</f>
        <v>2876395017945</v>
      </c>
      <c r="N50" s="136">
        <f>N7+N46</f>
        <v>2965657636194.23</v>
      </c>
      <c r="O50" s="182">
        <f>O7+O46</f>
        <v>-89262618249.230103</v>
      </c>
      <c r="P50" s="138"/>
      <c r="Q50" s="184"/>
      <c r="R50" s="184"/>
    </row>
    <row r="51" spans="1:18" ht="40.5" customHeight="1" x14ac:dyDescent="0.2">
      <c r="A51" s="109"/>
      <c r="B51" s="112"/>
      <c r="C51" s="112"/>
      <c r="D51" s="112"/>
      <c r="E51" s="112"/>
      <c r="F51" s="112"/>
      <c r="G51" s="112"/>
      <c r="H51" s="112"/>
      <c r="I51" s="250" t="s">
        <v>84</v>
      </c>
      <c r="J51" s="250"/>
      <c r="K51" s="250"/>
      <c r="L51" s="250"/>
      <c r="M51" s="250"/>
      <c r="N51" s="250"/>
      <c r="O51" s="250"/>
      <c r="P51" s="111"/>
      <c r="Q51" s="130"/>
      <c r="R51" s="130"/>
    </row>
    <row r="52" spans="1:18" ht="46.5" customHeight="1" x14ac:dyDescent="0.2">
      <c r="A52" s="109"/>
      <c r="B52" s="112"/>
      <c r="C52" s="112"/>
      <c r="D52" s="112"/>
      <c r="E52" s="112"/>
      <c r="F52" s="112"/>
      <c r="G52" s="112"/>
      <c r="H52" s="112"/>
      <c r="I52" s="257" t="s">
        <v>144</v>
      </c>
      <c r="J52" s="257"/>
      <c r="K52" s="257"/>
      <c r="L52" s="257"/>
      <c r="M52" s="257"/>
      <c r="N52" s="257"/>
      <c r="O52" s="257"/>
      <c r="P52" s="111"/>
      <c r="Q52" s="130"/>
      <c r="R52" s="130"/>
    </row>
    <row r="53" spans="1:18" ht="20.25" customHeight="1" x14ac:dyDescent="0.2">
      <c r="A53" s="109"/>
      <c r="B53" s="112"/>
      <c r="C53" s="112"/>
      <c r="D53" s="112"/>
      <c r="E53" s="112"/>
      <c r="F53" s="112"/>
      <c r="G53" s="112"/>
      <c r="H53" s="112"/>
      <c r="I53" s="222"/>
      <c r="J53" s="222"/>
      <c r="K53" s="222"/>
      <c r="L53" s="222"/>
      <c r="M53" s="222"/>
      <c r="N53" s="222"/>
      <c r="O53" s="222"/>
      <c r="P53" s="111"/>
      <c r="Q53" s="130"/>
      <c r="R53" s="130"/>
    </row>
    <row r="54" spans="1:18" ht="41.25" customHeight="1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254" t="s">
        <v>43</v>
      </c>
      <c r="K54" s="254"/>
      <c r="L54" s="110"/>
      <c r="M54" s="253" t="s">
        <v>42</v>
      </c>
      <c r="N54" s="253"/>
      <c r="O54" s="253"/>
      <c r="P54" s="111"/>
      <c r="R54" s="130"/>
    </row>
    <row r="55" spans="1:18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46" t="s">
        <v>33</v>
      </c>
      <c r="K55" s="246"/>
      <c r="L55" s="141"/>
      <c r="M55" s="247" t="s">
        <v>34</v>
      </c>
      <c r="N55" s="247"/>
      <c r="O55" s="247"/>
      <c r="P55" s="111"/>
    </row>
    <row r="56" spans="1:18" x14ac:dyDescent="0.2">
      <c r="A56" s="109"/>
      <c r="B56" s="112"/>
      <c r="C56" s="112"/>
      <c r="D56" s="112"/>
      <c r="E56" s="112"/>
      <c r="F56" s="112"/>
      <c r="G56" s="112"/>
      <c r="H56" s="112"/>
      <c r="I56" s="113"/>
      <c r="J56" s="251" t="s">
        <v>35</v>
      </c>
      <c r="K56" s="251"/>
      <c r="L56" s="142"/>
      <c r="M56" s="252" t="s">
        <v>40</v>
      </c>
      <c r="N56" s="252"/>
      <c r="O56" s="252"/>
      <c r="P56" s="111"/>
    </row>
    <row r="57" spans="1:18" ht="15.75" customHeight="1" x14ac:dyDescent="0.2">
      <c r="A57" s="109"/>
      <c r="B57" s="112"/>
      <c r="C57" s="112"/>
      <c r="D57" s="112"/>
      <c r="E57" s="112"/>
      <c r="F57" s="112"/>
      <c r="G57" s="112"/>
      <c r="H57" s="112"/>
      <c r="I57" s="113"/>
      <c r="J57" s="110"/>
      <c r="K57" s="143"/>
      <c r="L57" s="144"/>
      <c r="M57" s="145"/>
      <c r="N57" s="143"/>
      <c r="O57" s="110"/>
      <c r="P57" s="111"/>
    </row>
    <row r="58" spans="1:18" ht="30" customHeight="1" x14ac:dyDescent="0.2">
      <c r="A58" s="109"/>
      <c r="B58" s="112"/>
      <c r="C58" s="112"/>
      <c r="D58" s="112"/>
      <c r="E58" s="112"/>
      <c r="F58" s="112"/>
      <c r="G58" s="112"/>
      <c r="H58" s="112"/>
      <c r="I58" s="113"/>
      <c r="J58" s="253" t="s">
        <v>44</v>
      </c>
      <c r="K58" s="253"/>
      <c r="L58" s="110"/>
      <c r="M58" s="253" t="s">
        <v>45</v>
      </c>
      <c r="N58" s="253"/>
      <c r="O58" s="253"/>
      <c r="P58" s="111"/>
    </row>
    <row r="59" spans="1:18" x14ac:dyDescent="0.2">
      <c r="A59" s="109"/>
      <c r="B59" s="112"/>
      <c r="C59" s="112"/>
      <c r="D59" s="112"/>
      <c r="E59" s="112"/>
      <c r="F59" s="112"/>
      <c r="G59" s="112"/>
      <c r="H59" s="112"/>
      <c r="I59" s="113"/>
      <c r="J59" s="246" t="s">
        <v>41</v>
      </c>
      <c r="K59" s="246"/>
      <c r="L59" s="145" t="s">
        <v>36</v>
      </c>
      <c r="M59" s="247" t="s">
        <v>37</v>
      </c>
      <c r="N59" s="247"/>
      <c r="O59" s="247"/>
      <c r="P59" s="111"/>
    </row>
    <row r="60" spans="1:18" x14ac:dyDescent="0.2">
      <c r="A60" s="109"/>
      <c r="B60" s="112"/>
      <c r="C60" s="112"/>
      <c r="D60" s="112"/>
      <c r="E60" s="112"/>
      <c r="F60" s="112"/>
      <c r="G60" s="112"/>
      <c r="H60" s="112"/>
      <c r="I60" s="113"/>
      <c r="J60" s="248" t="s">
        <v>38</v>
      </c>
      <c r="K60" s="248"/>
      <c r="L60" s="146"/>
      <c r="M60" s="249" t="s">
        <v>39</v>
      </c>
      <c r="N60" s="249"/>
      <c r="O60" s="249"/>
      <c r="P60" s="111"/>
    </row>
    <row r="61" spans="1:18" ht="13.5" thickBot="1" x14ac:dyDescent="0.25">
      <c r="A61" s="147"/>
      <c r="B61" s="148"/>
      <c r="C61" s="148"/>
      <c r="D61" s="148"/>
      <c r="E61" s="148"/>
      <c r="F61" s="148"/>
      <c r="G61" s="148"/>
      <c r="H61" s="148"/>
      <c r="I61" s="149"/>
      <c r="J61" s="150"/>
      <c r="K61" s="151"/>
      <c r="L61" s="152"/>
      <c r="M61" s="153"/>
      <c r="N61" s="154"/>
      <c r="O61" s="150"/>
      <c r="P61" s="155"/>
    </row>
  </sheetData>
  <mergeCells count="19">
    <mergeCell ref="I51:O51"/>
    <mergeCell ref="I52:O52"/>
    <mergeCell ref="B1:O1"/>
    <mergeCell ref="B2:K2"/>
    <mergeCell ref="B4:H4"/>
    <mergeCell ref="B6:H6"/>
    <mergeCell ref="I50:J50"/>
    <mergeCell ref="J54:K54"/>
    <mergeCell ref="M54:O54"/>
    <mergeCell ref="J55:K55"/>
    <mergeCell ref="M55:O55"/>
    <mergeCell ref="J56:K56"/>
    <mergeCell ref="M56:O56"/>
    <mergeCell ref="J58:K58"/>
    <mergeCell ref="M58:O58"/>
    <mergeCell ref="J59:K59"/>
    <mergeCell ref="M59:O59"/>
    <mergeCell ref="J60:K60"/>
    <mergeCell ref="M60:O60"/>
  </mergeCells>
  <printOptions horizontalCentered="1"/>
  <pageMargins left="0.31496062992125984" right="0.15748031496062992" top="1.1023622047244095" bottom="0.39370078740157483" header="0.23622047244094491" footer="0.27559055118110237"/>
  <pageSetup scale="65" orientation="landscape" horizontalDpi="4294967293" verticalDpi="0" r:id="rId1"/>
  <ignoredErrors>
    <ignoredError sqref="I9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zoomScaleNormal="100" workbookViewId="0">
      <selection activeCell="M24" sqref="M24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9.28515625" style="194" customWidth="1"/>
    <col min="17" max="17" width="3.140625" style="108" customWidth="1"/>
    <col min="18" max="18" width="27.7109375" style="108" customWidth="1"/>
    <col min="19" max="19" width="20.42578125" style="108" bestFit="1" customWidth="1"/>
    <col min="20" max="16384" width="11.42578125" style="108"/>
  </cols>
  <sheetData>
    <row r="1" spans="1:23" ht="27.75" customHeight="1" x14ac:dyDescent="0.2">
      <c r="A1" s="105"/>
      <c r="B1" s="259" t="s">
        <v>20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86"/>
      <c r="Q1" s="106"/>
      <c r="R1" s="107"/>
      <c r="S1" s="107"/>
      <c r="T1" s="107"/>
      <c r="U1" s="107"/>
      <c r="V1" s="107"/>
      <c r="W1" s="107"/>
    </row>
    <row r="2" spans="1:23" ht="19.5" customHeight="1" x14ac:dyDescent="0.35">
      <c r="A2" s="109"/>
      <c r="B2" s="195"/>
      <c r="C2" s="195"/>
      <c r="D2" s="195"/>
      <c r="E2" s="195"/>
      <c r="F2" s="195"/>
      <c r="G2" s="195"/>
      <c r="H2" s="195"/>
      <c r="I2" s="262" t="s">
        <v>95</v>
      </c>
      <c r="J2" s="262"/>
      <c r="K2" s="262"/>
      <c r="L2" s="262"/>
      <c r="M2" s="262"/>
      <c r="N2" s="262"/>
      <c r="O2" s="262"/>
      <c r="P2" s="192"/>
      <c r="Q2" s="111"/>
      <c r="R2" s="110"/>
      <c r="S2" s="110"/>
      <c r="T2" s="110"/>
      <c r="U2" s="110"/>
      <c r="V2" s="110"/>
      <c r="W2" s="110"/>
    </row>
    <row r="3" spans="1:23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92"/>
      <c r="Q3" s="111"/>
      <c r="R3" s="114"/>
      <c r="S3" s="114"/>
      <c r="T3" s="114"/>
      <c r="U3" s="114"/>
      <c r="V3" s="114"/>
      <c r="W3" s="114"/>
    </row>
    <row r="4" spans="1:23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88"/>
      <c r="J4" s="112"/>
      <c r="K4" s="110"/>
      <c r="L4" s="116"/>
      <c r="M4" s="110"/>
      <c r="N4" s="110"/>
      <c r="O4" s="110"/>
      <c r="P4" s="192"/>
      <c r="Q4" s="111"/>
      <c r="R4" s="114"/>
      <c r="S4" s="114"/>
      <c r="T4" s="114"/>
      <c r="U4" s="114"/>
      <c r="V4" s="114"/>
      <c r="W4" s="114"/>
    </row>
    <row r="5" spans="1:23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92"/>
      <c r="Q5" s="111"/>
      <c r="R5" s="114"/>
      <c r="S5" s="114"/>
      <c r="T5" s="114"/>
      <c r="U5" s="114"/>
      <c r="V5" s="114"/>
      <c r="W5" s="114"/>
    </row>
    <row r="6" spans="1:23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93</v>
      </c>
      <c r="N6" s="119" t="s">
        <v>31</v>
      </c>
      <c r="O6" s="189" t="s">
        <v>32</v>
      </c>
      <c r="P6" s="119" t="s">
        <v>94</v>
      </c>
      <c r="Q6" s="111"/>
    </row>
    <row r="7" spans="1:23" s="122" customFormat="1" ht="36.75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196">
        <v>3</v>
      </c>
      <c r="J7" s="197" t="s">
        <v>91</v>
      </c>
      <c r="K7" s="198">
        <f>K8</f>
        <v>190805665239</v>
      </c>
      <c r="L7" s="198">
        <f t="shared" ref="K7:O8" si="0">L8</f>
        <v>-2121344867</v>
      </c>
      <c r="M7" s="198">
        <f t="shared" si="0"/>
        <v>188684320372</v>
      </c>
      <c r="N7" s="198">
        <v>279917570505.88</v>
      </c>
      <c r="O7" s="198">
        <f>M7-N7</f>
        <v>-91233250133.880005</v>
      </c>
      <c r="P7" s="199">
        <f>N7/M7</f>
        <v>1.4835232199157269</v>
      </c>
      <c r="Q7" s="121"/>
      <c r="R7" s="123">
        <v>279917570505.88</v>
      </c>
    </row>
    <row r="8" spans="1:23" s="122" customFormat="1" ht="24.75" hidden="1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200">
        <v>31</v>
      </c>
      <c r="J8" s="201" t="s">
        <v>5</v>
      </c>
      <c r="K8" s="202">
        <f t="shared" si="0"/>
        <v>190805665239</v>
      </c>
      <c r="L8" s="202">
        <f t="shared" si="0"/>
        <v>-2121344867</v>
      </c>
      <c r="M8" s="202">
        <f t="shared" si="0"/>
        <v>188684320372</v>
      </c>
      <c r="N8" s="202">
        <f t="shared" si="0"/>
        <v>279917570505.88</v>
      </c>
      <c r="O8" s="202">
        <f t="shared" si="0"/>
        <v>-91233250133.880005</v>
      </c>
      <c r="P8" s="203">
        <f t="shared" ref="P8:P47" si="1">N8/M8</f>
        <v>1.4835232199157269</v>
      </c>
      <c r="Q8" s="121"/>
    </row>
    <row r="9" spans="1:23" s="122" customFormat="1" ht="25.5" hidden="1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200">
        <v>3101</v>
      </c>
      <c r="J9" s="201" t="s">
        <v>5</v>
      </c>
      <c r="K9" s="202">
        <f>K10+K29</f>
        <v>190805665239</v>
      </c>
      <c r="L9" s="202">
        <f>L10+L29</f>
        <v>-2121344867</v>
      </c>
      <c r="M9" s="202">
        <f>M10+M29</f>
        <v>188684320372</v>
      </c>
      <c r="N9" s="202">
        <f>N10+N29</f>
        <v>279917570505.88</v>
      </c>
      <c r="O9" s="202">
        <f>M9-N9</f>
        <v>-91233250133.880005</v>
      </c>
      <c r="P9" s="203">
        <f t="shared" si="1"/>
        <v>1.4835232199157269</v>
      </c>
      <c r="Q9" s="121"/>
      <c r="S9" s="123"/>
    </row>
    <row r="10" spans="1:23" s="122" customFormat="1" ht="36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200">
        <v>31011</v>
      </c>
      <c r="J10" s="201" t="s">
        <v>7</v>
      </c>
      <c r="K10" s="202">
        <f>K11</f>
        <v>189105665239</v>
      </c>
      <c r="L10" s="202">
        <f>L11</f>
        <v>-1955006384</v>
      </c>
      <c r="M10" s="202">
        <f>K10+L10</f>
        <v>187150658855</v>
      </c>
      <c r="N10" s="202">
        <v>265714609667.14999</v>
      </c>
      <c r="O10" s="202">
        <f t="shared" ref="O10:O46" si="2">M10-N10</f>
        <v>-78563950812.149994</v>
      </c>
      <c r="P10" s="203">
        <f>N10/M10</f>
        <v>1.4197898703259149</v>
      </c>
      <c r="Q10" s="121"/>
      <c r="R10" s="190">
        <v>210998371532</v>
      </c>
    </row>
    <row r="11" spans="1:23" s="122" customFormat="1" ht="21" hidden="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200">
        <v>3101102</v>
      </c>
      <c r="J11" s="204" t="s">
        <v>8</v>
      </c>
      <c r="K11" s="205">
        <v>189105665239</v>
      </c>
      <c r="L11" s="205">
        <f>L12+L13+L16</f>
        <v>-1955006384</v>
      </c>
      <c r="M11" s="205">
        <f>K11+L11</f>
        <v>187150658855</v>
      </c>
      <c r="N11" s="205">
        <f>N12+N13+N16+N24</f>
        <v>265714609667.14999</v>
      </c>
      <c r="O11" s="205">
        <f t="shared" si="2"/>
        <v>-78563950812.149994</v>
      </c>
      <c r="P11" s="203">
        <f t="shared" si="1"/>
        <v>1.4197898703259149</v>
      </c>
      <c r="Q11" s="121"/>
      <c r="R11" s="191">
        <f>R10/R7</f>
        <v>0.75378752091436763</v>
      </c>
      <c r="S11" s="123"/>
    </row>
    <row r="12" spans="1:23" s="122" customFormat="1" ht="25.5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200">
        <v>31011022</v>
      </c>
      <c r="J12" s="204" t="s">
        <v>96</v>
      </c>
      <c r="K12" s="205">
        <v>0</v>
      </c>
      <c r="L12" s="205">
        <v>0</v>
      </c>
      <c r="M12" s="205">
        <v>0</v>
      </c>
      <c r="N12" s="205">
        <v>255490899178.14999</v>
      </c>
      <c r="O12" s="205">
        <f>M12-N12</f>
        <v>-255490899178.14999</v>
      </c>
      <c r="P12" s="203"/>
      <c r="Q12" s="121"/>
    </row>
    <row r="13" spans="1:23" s="167" customFormat="1" ht="34.5" customHeight="1" x14ac:dyDescent="0.2">
      <c r="A13" s="120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3</v>
      </c>
      <c r="H13" s="35"/>
      <c r="I13" s="200">
        <v>31011023</v>
      </c>
      <c r="J13" s="204" t="s">
        <v>97</v>
      </c>
      <c r="K13" s="205">
        <v>0</v>
      </c>
      <c r="L13" s="205">
        <v>0</v>
      </c>
      <c r="M13" s="205">
        <v>0</v>
      </c>
      <c r="N13" s="205">
        <f>N15</f>
        <v>7526592415</v>
      </c>
      <c r="O13" s="205">
        <f t="shared" si="2"/>
        <v>-7526592415</v>
      </c>
      <c r="P13" s="203"/>
      <c r="Q13" s="121"/>
    </row>
    <row r="14" spans="1:23" s="167" customFormat="1" ht="25.5" hidden="1" customHeight="1" x14ac:dyDescent="0.2">
      <c r="A14" s="120"/>
      <c r="B14" s="33"/>
      <c r="C14" s="34"/>
      <c r="D14" s="35"/>
      <c r="E14" s="34"/>
      <c r="F14" s="35"/>
      <c r="G14" s="34"/>
      <c r="H14" s="35"/>
      <c r="I14" s="200">
        <v>3101102301</v>
      </c>
      <c r="J14" s="204" t="s">
        <v>52</v>
      </c>
      <c r="K14" s="205">
        <v>0</v>
      </c>
      <c r="L14" s="205">
        <v>0</v>
      </c>
      <c r="M14" s="205">
        <f>K14-L14</f>
        <v>0</v>
      </c>
      <c r="N14" s="205">
        <f>N15</f>
        <v>7526592415</v>
      </c>
      <c r="O14" s="205">
        <f t="shared" si="2"/>
        <v>-7526592415</v>
      </c>
      <c r="P14" s="203" t="e">
        <f t="shared" si="1"/>
        <v>#DIV/0!</v>
      </c>
      <c r="Q14" s="121"/>
    </row>
    <row r="15" spans="1:23" s="168" customFormat="1" ht="27.75" hidden="1" customHeight="1" x14ac:dyDescent="0.2">
      <c r="A15" s="109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206">
        <v>310110230104</v>
      </c>
      <c r="J15" s="207" t="s">
        <v>12</v>
      </c>
      <c r="K15" s="208">
        <v>0</v>
      </c>
      <c r="L15" s="208">
        <v>0</v>
      </c>
      <c r="M15" s="208">
        <v>0</v>
      </c>
      <c r="N15" s="208">
        <f>2273136243+2236946051+6917490+3458745+4140580+2522661376+177496+11932439+15348678+10376235+441497082</f>
        <v>7526592415</v>
      </c>
      <c r="O15" s="205">
        <f t="shared" si="2"/>
        <v>-7526592415</v>
      </c>
      <c r="P15" s="203" t="e">
        <f t="shared" si="1"/>
        <v>#DIV/0!</v>
      </c>
      <c r="Q15" s="111"/>
    </row>
    <row r="16" spans="1:23" s="167" customFormat="1" ht="30.75" customHeight="1" x14ac:dyDescent="0.2">
      <c r="A16" s="120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200">
        <v>31011025</v>
      </c>
      <c r="J16" s="204" t="s">
        <v>98</v>
      </c>
      <c r="K16" s="205">
        <v>189105665239</v>
      </c>
      <c r="L16" s="205">
        <v>-1955006384</v>
      </c>
      <c r="M16" s="205">
        <f>K16+L16</f>
        <v>187150658855</v>
      </c>
      <c r="N16" s="205">
        <f>N17</f>
        <v>494048174</v>
      </c>
      <c r="O16" s="205">
        <f>M16-N16</f>
        <v>186656610681</v>
      </c>
      <c r="P16" s="209">
        <f>N16/M16</f>
        <v>2.6398420236542E-3</v>
      </c>
      <c r="Q16" s="121"/>
    </row>
    <row r="17" spans="1:19" s="167" customFormat="1" ht="24.95" hidden="1" customHeight="1" x14ac:dyDescent="0.2">
      <c r="A17" s="120"/>
      <c r="B17" s="33"/>
      <c r="C17" s="34"/>
      <c r="D17" s="35"/>
      <c r="E17" s="34"/>
      <c r="F17" s="35"/>
      <c r="G17" s="34"/>
      <c r="H17" s="35"/>
      <c r="I17" s="200">
        <v>3101102502</v>
      </c>
      <c r="J17" s="204" t="s">
        <v>53</v>
      </c>
      <c r="K17" s="205">
        <v>0</v>
      </c>
      <c r="L17" s="205">
        <v>0</v>
      </c>
      <c r="M17" s="205">
        <f>K17-L17</f>
        <v>0</v>
      </c>
      <c r="N17" s="205">
        <f>N18+N21</f>
        <v>494048174</v>
      </c>
      <c r="O17" s="205">
        <f t="shared" si="2"/>
        <v>-494048174</v>
      </c>
      <c r="P17" s="203" t="e">
        <f t="shared" si="1"/>
        <v>#DIV/0!</v>
      </c>
      <c r="Q17" s="121"/>
    </row>
    <row r="18" spans="1:19" s="167" customFormat="1" ht="36" hidden="1" customHeight="1" x14ac:dyDescent="0.25">
      <c r="A18" s="120"/>
      <c r="B18" s="33"/>
      <c r="C18" s="34"/>
      <c r="D18" s="35"/>
      <c r="E18" s="34"/>
      <c r="F18" s="35"/>
      <c r="G18" s="34"/>
      <c r="H18" s="35"/>
      <c r="I18" s="210">
        <v>310110250207</v>
      </c>
      <c r="J18" s="204" t="s">
        <v>67</v>
      </c>
      <c r="K18" s="211"/>
      <c r="L18" s="211"/>
      <c r="M18" s="205"/>
      <c r="N18" s="205">
        <f>N19</f>
        <v>486646958</v>
      </c>
      <c r="O18" s="205">
        <f t="shared" si="2"/>
        <v>-486646958</v>
      </c>
      <c r="P18" s="203" t="e">
        <f t="shared" si="1"/>
        <v>#DIV/0!</v>
      </c>
      <c r="Q18" s="121"/>
    </row>
    <row r="19" spans="1:19" s="167" customFormat="1" ht="29.25" hidden="1" customHeight="1" x14ac:dyDescent="0.25">
      <c r="A19" s="120"/>
      <c r="B19" s="33"/>
      <c r="C19" s="34"/>
      <c r="D19" s="35"/>
      <c r="E19" s="34"/>
      <c r="F19" s="35"/>
      <c r="G19" s="34"/>
      <c r="H19" s="35"/>
      <c r="I19" s="210">
        <v>3101102502073</v>
      </c>
      <c r="J19" s="204" t="s">
        <v>68</v>
      </c>
      <c r="K19" s="211"/>
      <c r="L19" s="211"/>
      <c r="M19" s="205"/>
      <c r="N19" s="205">
        <f>N20</f>
        <v>486646958</v>
      </c>
      <c r="O19" s="205">
        <f t="shared" si="2"/>
        <v>-486646958</v>
      </c>
      <c r="P19" s="203" t="e">
        <f t="shared" si="1"/>
        <v>#DIV/0!</v>
      </c>
      <c r="Q19" s="121"/>
    </row>
    <row r="20" spans="1:19" s="167" customFormat="1" ht="34.5" hidden="1" customHeight="1" x14ac:dyDescent="0.25">
      <c r="A20" s="120"/>
      <c r="B20" s="33"/>
      <c r="C20" s="34"/>
      <c r="D20" s="35"/>
      <c r="E20" s="34"/>
      <c r="F20" s="35"/>
      <c r="G20" s="34"/>
      <c r="H20" s="35"/>
      <c r="I20" s="206">
        <v>31011025020732</v>
      </c>
      <c r="J20" s="212" t="s">
        <v>69</v>
      </c>
      <c r="K20" s="211"/>
      <c r="L20" s="211"/>
      <c r="M20" s="208"/>
      <c r="N20" s="208">
        <f>47778578+60799563+62513922+51927478+84276921+92196554+87153942</f>
        <v>486646958</v>
      </c>
      <c r="O20" s="208">
        <f t="shared" si="2"/>
        <v>-486646958</v>
      </c>
      <c r="P20" s="203" t="e">
        <f t="shared" si="1"/>
        <v>#DIV/0!</v>
      </c>
      <c r="Q20" s="121"/>
    </row>
    <row r="21" spans="1:19" s="167" customFormat="1" ht="35.25" hidden="1" customHeight="1" x14ac:dyDescent="0.2">
      <c r="A21" s="120"/>
      <c r="B21" s="33"/>
      <c r="C21" s="34"/>
      <c r="D21" s="35"/>
      <c r="E21" s="34"/>
      <c r="F21" s="35"/>
      <c r="G21" s="34"/>
      <c r="H21" s="35"/>
      <c r="I21" s="210">
        <v>310110250208</v>
      </c>
      <c r="J21" s="204" t="s">
        <v>54</v>
      </c>
      <c r="K21" s="205">
        <v>0</v>
      </c>
      <c r="L21" s="205">
        <v>0</v>
      </c>
      <c r="M21" s="205">
        <f t="shared" ref="M21:M22" si="3">K21-L21</f>
        <v>0</v>
      </c>
      <c r="N21" s="205">
        <f>N22</f>
        <v>7401216</v>
      </c>
      <c r="O21" s="205">
        <f t="shared" si="2"/>
        <v>-7401216</v>
      </c>
      <c r="P21" s="203" t="e">
        <f t="shared" si="1"/>
        <v>#DIV/0!</v>
      </c>
      <c r="Q21" s="121"/>
    </row>
    <row r="22" spans="1:19" s="167" customFormat="1" ht="47.25" hidden="1" customHeight="1" x14ac:dyDescent="0.2">
      <c r="A22" s="120"/>
      <c r="B22" s="33"/>
      <c r="C22" s="34"/>
      <c r="D22" s="35"/>
      <c r="E22" s="34"/>
      <c r="F22" s="35"/>
      <c r="G22" s="34"/>
      <c r="H22" s="35"/>
      <c r="I22" s="210">
        <v>3101102502089</v>
      </c>
      <c r="J22" s="204" t="s">
        <v>55</v>
      </c>
      <c r="K22" s="205">
        <v>0</v>
      </c>
      <c r="L22" s="205">
        <v>0</v>
      </c>
      <c r="M22" s="205">
        <f t="shared" si="3"/>
        <v>0</v>
      </c>
      <c r="N22" s="205">
        <f>N23</f>
        <v>7401216</v>
      </c>
      <c r="O22" s="205">
        <f t="shared" si="2"/>
        <v>-7401216</v>
      </c>
      <c r="P22" s="203" t="e">
        <f t="shared" si="1"/>
        <v>#DIV/0!</v>
      </c>
      <c r="Q22" s="121"/>
    </row>
    <row r="23" spans="1:19" s="168" customFormat="1" ht="0.75" hidden="1" customHeight="1" x14ac:dyDescent="0.2">
      <c r="A23" s="109"/>
      <c r="B23" s="33">
        <v>3</v>
      </c>
      <c r="C23" s="34">
        <v>1</v>
      </c>
      <c r="D23" s="35" t="s">
        <v>6</v>
      </c>
      <c r="E23" s="34">
        <v>1</v>
      </c>
      <c r="F23" s="35" t="s">
        <v>3</v>
      </c>
      <c r="G23" s="34">
        <v>5</v>
      </c>
      <c r="H23" s="35" t="s">
        <v>3</v>
      </c>
      <c r="I23" s="206">
        <v>31011025020891</v>
      </c>
      <c r="J23" s="207" t="s">
        <v>14</v>
      </c>
      <c r="K23" s="208">
        <v>0</v>
      </c>
      <c r="L23" s="208">
        <v>0</v>
      </c>
      <c r="M23" s="208">
        <v>0</v>
      </c>
      <c r="N23" s="208">
        <f>83063+202884+1571271+1328227+1249323+14645+1155089+126136+384737+760475+254656+270710</f>
        <v>7401216</v>
      </c>
      <c r="O23" s="208">
        <f t="shared" si="2"/>
        <v>-7401216</v>
      </c>
      <c r="P23" s="203" t="e">
        <f t="shared" si="1"/>
        <v>#DIV/0!</v>
      </c>
      <c r="Q23" s="111"/>
    </row>
    <row r="24" spans="1:19" s="167" customFormat="1" ht="35.1" customHeight="1" x14ac:dyDescent="0.2">
      <c r="A24" s="120"/>
      <c r="B24" s="33"/>
      <c r="C24" s="34"/>
      <c r="D24" s="35"/>
      <c r="E24" s="34"/>
      <c r="F24" s="35"/>
      <c r="G24" s="34"/>
      <c r="H24" s="35"/>
      <c r="I24" s="210">
        <v>31011026</v>
      </c>
      <c r="J24" s="204" t="s">
        <v>99</v>
      </c>
      <c r="K24" s="205">
        <v>0</v>
      </c>
      <c r="L24" s="205">
        <v>0</v>
      </c>
      <c r="M24" s="205">
        <v>0</v>
      </c>
      <c r="N24" s="205">
        <f>+N27+N26+N25</f>
        <v>2203069900</v>
      </c>
      <c r="O24" s="205">
        <f t="shared" si="2"/>
        <v>-2203069900</v>
      </c>
      <c r="P24" s="203"/>
      <c r="Q24" s="121"/>
    </row>
    <row r="25" spans="1:19" s="167" customFormat="1" ht="24.75" hidden="1" customHeight="1" x14ac:dyDescent="0.2">
      <c r="A25" s="120"/>
      <c r="B25" s="33"/>
      <c r="C25" s="34"/>
      <c r="D25" s="35"/>
      <c r="E25" s="34"/>
      <c r="F25" s="35"/>
      <c r="G25" s="34"/>
      <c r="H25" s="35"/>
      <c r="I25" s="206">
        <v>3101102601</v>
      </c>
      <c r="J25" s="207" t="s">
        <v>89</v>
      </c>
      <c r="K25" s="205">
        <v>0</v>
      </c>
      <c r="L25" s="205">
        <v>0</v>
      </c>
      <c r="M25" s="205">
        <f>K25-L25</f>
        <v>0</v>
      </c>
      <c r="N25" s="208">
        <v>5770034</v>
      </c>
      <c r="O25" s="205">
        <f>M25-N25</f>
        <v>-5770034</v>
      </c>
      <c r="P25" s="203" t="e">
        <f t="shared" si="1"/>
        <v>#DIV/0!</v>
      </c>
      <c r="Q25" s="121"/>
    </row>
    <row r="26" spans="1:19" s="168" customFormat="1" ht="25.5" hidden="1" customHeight="1" x14ac:dyDescent="0.2">
      <c r="A26" s="109"/>
      <c r="B26" s="33"/>
      <c r="C26" s="34"/>
      <c r="D26" s="35"/>
      <c r="E26" s="34"/>
      <c r="F26" s="35"/>
      <c r="G26" s="34"/>
      <c r="H26" s="35"/>
      <c r="I26" s="206">
        <v>3101102602</v>
      </c>
      <c r="J26" s="207" t="s">
        <v>61</v>
      </c>
      <c r="K26" s="208">
        <v>0</v>
      </c>
      <c r="L26" s="208">
        <v>0</v>
      </c>
      <c r="M26" s="208">
        <v>0</v>
      </c>
      <c r="N26" s="208">
        <f>649305893+48450500</f>
        <v>697756393</v>
      </c>
      <c r="O26" s="208">
        <f t="shared" si="2"/>
        <v>-697756393</v>
      </c>
      <c r="P26" s="203" t="e">
        <f t="shared" si="1"/>
        <v>#DIV/0!</v>
      </c>
      <c r="Q26" s="111"/>
      <c r="S26" s="171"/>
    </row>
    <row r="27" spans="1:19" s="168" customFormat="1" ht="25.5" hidden="1" customHeight="1" x14ac:dyDescent="0.2">
      <c r="A27" s="109"/>
      <c r="B27" s="33"/>
      <c r="C27" s="34"/>
      <c r="D27" s="35"/>
      <c r="E27" s="34"/>
      <c r="F27" s="35"/>
      <c r="G27" s="34"/>
      <c r="H27" s="35"/>
      <c r="I27" s="210">
        <v>3101102605</v>
      </c>
      <c r="J27" s="204" t="s">
        <v>86</v>
      </c>
      <c r="K27" s="205">
        <v>0</v>
      </c>
      <c r="L27" s="205">
        <v>0</v>
      </c>
      <c r="M27" s="205">
        <f>K27-L27</f>
        <v>0</v>
      </c>
      <c r="N27" s="205">
        <f>N28</f>
        <v>1499543473</v>
      </c>
      <c r="O27" s="205">
        <f>O28</f>
        <v>-1499543473</v>
      </c>
      <c r="P27" s="203"/>
      <c r="Q27" s="111"/>
      <c r="S27" s="171"/>
    </row>
    <row r="28" spans="1:19" s="168" customFormat="1" ht="25.5" hidden="1" customHeight="1" x14ac:dyDescent="0.2">
      <c r="A28" s="109"/>
      <c r="B28" s="33"/>
      <c r="C28" s="34"/>
      <c r="D28" s="35"/>
      <c r="E28" s="34"/>
      <c r="F28" s="35"/>
      <c r="G28" s="34"/>
      <c r="H28" s="35"/>
      <c r="I28" s="206">
        <v>310110260502</v>
      </c>
      <c r="J28" s="207" t="s">
        <v>87</v>
      </c>
      <c r="K28" s="208">
        <v>0</v>
      </c>
      <c r="L28" s="208">
        <v>0</v>
      </c>
      <c r="M28" s="208">
        <f>K28-L28</f>
        <v>0</v>
      </c>
      <c r="N28" s="208">
        <v>1499543473</v>
      </c>
      <c r="O28" s="208">
        <f>M28-N28</f>
        <v>-1499543473</v>
      </c>
      <c r="P28" s="203" t="e">
        <f t="shared" si="1"/>
        <v>#DIV/0!</v>
      </c>
      <c r="Q28" s="111"/>
      <c r="S28" s="171"/>
    </row>
    <row r="29" spans="1:19" s="167" customFormat="1" ht="33.75" customHeight="1" x14ac:dyDescent="0.2">
      <c r="A29" s="120"/>
      <c r="B29" s="33">
        <v>3</v>
      </c>
      <c r="C29" s="34">
        <v>1</v>
      </c>
      <c r="D29" s="35" t="s">
        <v>6</v>
      </c>
      <c r="E29" s="34">
        <v>2</v>
      </c>
      <c r="F29" s="35"/>
      <c r="G29" s="34"/>
      <c r="H29" s="35"/>
      <c r="I29" s="200">
        <v>31012</v>
      </c>
      <c r="J29" s="204" t="s">
        <v>0</v>
      </c>
      <c r="K29" s="205">
        <f>K30+K39</f>
        <v>1700000000</v>
      </c>
      <c r="L29" s="205">
        <f>L30</f>
        <v>-166338483</v>
      </c>
      <c r="M29" s="205">
        <f>M30+M39</f>
        <v>1533661517</v>
      </c>
      <c r="N29" s="205">
        <f>N30+N32+N39</f>
        <v>14202960838.73</v>
      </c>
      <c r="O29" s="205">
        <f>M29-N29</f>
        <v>-12669299321.73</v>
      </c>
      <c r="P29" s="203">
        <f>N29/M29</f>
        <v>9.2608184278578332</v>
      </c>
      <c r="Q29" s="121"/>
      <c r="S29" s="172"/>
    </row>
    <row r="30" spans="1:19" s="168" customFormat="1" ht="26.25" customHeight="1" x14ac:dyDescent="0.2">
      <c r="A30" s="109"/>
      <c r="B30" s="33">
        <v>3</v>
      </c>
      <c r="C30" s="34">
        <v>1</v>
      </c>
      <c r="D30" s="35" t="s">
        <v>6</v>
      </c>
      <c r="E30" s="34">
        <v>2</v>
      </c>
      <c r="F30" s="35" t="s">
        <v>3</v>
      </c>
      <c r="G30" s="34"/>
      <c r="H30" s="35"/>
      <c r="I30" s="200">
        <v>3101202</v>
      </c>
      <c r="J30" s="204" t="s">
        <v>15</v>
      </c>
      <c r="K30" s="205">
        <v>1700000000</v>
      </c>
      <c r="L30" s="205">
        <v>-166338483</v>
      </c>
      <c r="M30" s="205">
        <f>K30+L30</f>
        <v>1533661517</v>
      </c>
      <c r="N30" s="205">
        <v>1700000000</v>
      </c>
      <c r="O30" s="205">
        <f t="shared" si="2"/>
        <v>-166338483</v>
      </c>
      <c r="P30" s="203">
        <f>N30/M30</f>
        <v>1.1084584056887437</v>
      </c>
      <c r="Q30" s="111"/>
      <c r="S30" s="173"/>
    </row>
    <row r="31" spans="1:19" s="168" customFormat="1" ht="21.75" hidden="1" customHeight="1" x14ac:dyDescent="0.2">
      <c r="A31" s="109"/>
      <c r="B31" s="33"/>
      <c r="C31" s="34"/>
      <c r="D31" s="35"/>
      <c r="E31" s="34"/>
      <c r="F31" s="35"/>
      <c r="G31" s="34"/>
      <c r="H31" s="35"/>
      <c r="I31" s="213">
        <v>31012021</v>
      </c>
      <c r="J31" s="207" t="s">
        <v>57</v>
      </c>
      <c r="K31" s="208">
        <v>0</v>
      </c>
      <c r="L31" s="208">
        <v>0</v>
      </c>
      <c r="M31" s="208">
        <f>K31-L31</f>
        <v>0</v>
      </c>
      <c r="N31" s="208">
        <v>1700000000</v>
      </c>
      <c r="O31" s="208">
        <f t="shared" si="2"/>
        <v>-1700000000</v>
      </c>
      <c r="P31" s="203" t="e">
        <f t="shared" si="1"/>
        <v>#DIV/0!</v>
      </c>
      <c r="Q31" s="111"/>
    </row>
    <row r="32" spans="1:19" s="167" customFormat="1" ht="35.1" customHeight="1" x14ac:dyDescent="0.2">
      <c r="A32" s="120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/>
      <c r="H32" s="35"/>
      <c r="I32" s="200">
        <v>3101205</v>
      </c>
      <c r="J32" s="204" t="s">
        <v>100</v>
      </c>
      <c r="K32" s="205">
        <v>0</v>
      </c>
      <c r="L32" s="205">
        <v>0</v>
      </c>
      <c r="M32" s="205">
        <v>0</v>
      </c>
      <c r="N32" s="205">
        <f>N34+N36+N37</f>
        <v>11588933964.889999</v>
      </c>
      <c r="O32" s="205">
        <f t="shared" si="2"/>
        <v>-11588933964.889999</v>
      </c>
      <c r="P32" s="203"/>
      <c r="Q32" s="121"/>
      <c r="S32" s="172"/>
    </row>
    <row r="33" spans="1:19" s="167" customFormat="1" ht="9" hidden="1" customHeight="1" x14ac:dyDescent="0.2">
      <c r="A33" s="120"/>
      <c r="B33" s="33"/>
      <c r="C33" s="34"/>
      <c r="D33" s="35"/>
      <c r="E33" s="34"/>
      <c r="F33" s="35"/>
      <c r="G33" s="34"/>
      <c r="H33" s="35"/>
      <c r="I33" s="200">
        <v>31012051</v>
      </c>
      <c r="J33" s="204" t="s">
        <v>56</v>
      </c>
      <c r="K33" s="205">
        <v>0</v>
      </c>
      <c r="L33" s="205">
        <v>0</v>
      </c>
      <c r="M33" s="205">
        <f>K33-L33</f>
        <v>0</v>
      </c>
      <c r="N33" s="205">
        <f>N34+N36</f>
        <v>11484998581.84</v>
      </c>
      <c r="O33" s="205">
        <f t="shared" si="2"/>
        <v>-11484998581.84</v>
      </c>
      <c r="P33" s="203"/>
      <c r="Q33" s="121"/>
    </row>
    <row r="34" spans="1:19" s="168" customFormat="1" ht="25.5" hidden="1" customHeight="1" x14ac:dyDescent="0.2">
      <c r="A34" s="109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3</v>
      </c>
      <c r="I34" s="200">
        <v>3101205102</v>
      </c>
      <c r="J34" s="204" t="s">
        <v>4</v>
      </c>
      <c r="K34" s="205">
        <v>0</v>
      </c>
      <c r="L34" s="205">
        <v>0</v>
      </c>
      <c r="M34" s="205">
        <v>0</v>
      </c>
      <c r="N34" s="205">
        <f>2657468.69+25469957.1+1364245.06+3026746.96+107824833.19+9140375.04+361945460.49+12754771.08+8596082.06+347347480.16+8874776.86+23816546.48</f>
        <v>912818743.16999996</v>
      </c>
      <c r="O34" s="205">
        <f t="shared" si="2"/>
        <v>-912818743.16999996</v>
      </c>
      <c r="P34" s="203"/>
      <c r="Q34" s="111"/>
    </row>
    <row r="35" spans="1:19" s="168" customFormat="1" ht="20.25" hidden="1" customHeight="1" x14ac:dyDescent="0.2">
      <c r="A35" s="109"/>
      <c r="B35" s="33"/>
      <c r="C35" s="34"/>
      <c r="D35" s="35"/>
      <c r="E35" s="34"/>
      <c r="F35" s="35"/>
      <c r="G35" s="34"/>
      <c r="H35" s="35"/>
      <c r="I35" s="206">
        <v>310120510201</v>
      </c>
      <c r="J35" s="207" t="s">
        <v>65</v>
      </c>
      <c r="K35" s="208">
        <v>0</v>
      </c>
      <c r="L35" s="208">
        <v>0</v>
      </c>
      <c r="M35" s="208">
        <f>K35-L35</f>
        <v>0</v>
      </c>
      <c r="N35" s="208">
        <f>3026746.96+107824833.19+9140375.04+361945460.49+12754771.08+8596082.06+347347480.16+8874776.86+23816546.48</f>
        <v>883327072.32000005</v>
      </c>
      <c r="O35" s="208">
        <f t="shared" si="2"/>
        <v>-883327072.32000005</v>
      </c>
      <c r="P35" s="203" t="e">
        <f t="shared" si="1"/>
        <v>#DIV/0!</v>
      </c>
      <c r="Q35" s="111"/>
      <c r="S35" s="173"/>
    </row>
    <row r="36" spans="1:19" s="168" customFormat="1" ht="24.95" hidden="1" customHeight="1" x14ac:dyDescent="0.2">
      <c r="A36" s="109"/>
      <c r="B36" s="33">
        <v>3</v>
      </c>
      <c r="C36" s="34">
        <v>1</v>
      </c>
      <c r="D36" s="35" t="s">
        <v>6</v>
      </c>
      <c r="E36" s="34">
        <v>2</v>
      </c>
      <c r="F36" s="35" t="s">
        <v>1</v>
      </c>
      <c r="G36" s="34">
        <v>1</v>
      </c>
      <c r="H36" s="35" t="s">
        <v>16</v>
      </c>
      <c r="I36" s="200">
        <v>3101205103</v>
      </c>
      <c r="J36" s="204" t="s">
        <v>17</v>
      </c>
      <c r="K36" s="205">
        <v>0</v>
      </c>
      <c r="L36" s="205">
        <v>0</v>
      </c>
      <c r="M36" s="205">
        <v>0</v>
      </c>
      <c r="N36" s="205">
        <f>321269509.38+7913502298.75+14616043.99+2322791986.55</f>
        <v>10572179838.67</v>
      </c>
      <c r="O36" s="205">
        <f t="shared" si="2"/>
        <v>-10572179838.67</v>
      </c>
      <c r="P36" s="203"/>
      <c r="Q36" s="111"/>
      <c r="S36" s="174"/>
    </row>
    <row r="37" spans="1:19" s="167" customFormat="1" ht="24.95" hidden="1" customHeight="1" x14ac:dyDescent="0.2">
      <c r="A37" s="120"/>
      <c r="B37" s="94"/>
      <c r="C37" s="95"/>
      <c r="D37" s="96"/>
      <c r="E37" s="95"/>
      <c r="F37" s="96"/>
      <c r="G37" s="95"/>
      <c r="H37" s="96"/>
      <c r="I37" s="200">
        <v>31012053</v>
      </c>
      <c r="J37" s="204" t="s">
        <v>71</v>
      </c>
      <c r="K37" s="205">
        <v>0</v>
      </c>
      <c r="L37" s="205">
        <v>0</v>
      </c>
      <c r="M37" s="205">
        <v>0</v>
      </c>
      <c r="N37" s="205">
        <f>N38</f>
        <v>103935383.05000001</v>
      </c>
      <c r="O37" s="205">
        <f t="shared" si="2"/>
        <v>-103935383.05000001</v>
      </c>
      <c r="P37" s="203"/>
      <c r="Q37" s="121"/>
    </row>
    <row r="38" spans="1:19" s="168" customFormat="1" ht="24.95" hidden="1" customHeight="1" x14ac:dyDescent="0.2">
      <c r="A38" s="109"/>
      <c r="B38" s="94"/>
      <c r="C38" s="95"/>
      <c r="D38" s="96"/>
      <c r="E38" s="95"/>
      <c r="F38" s="96"/>
      <c r="G38" s="95"/>
      <c r="H38" s="96"/>
      <c r="I38" s="213">
        <v>3101205301</v>
      </c>
      <c r="J38" s="207" t="s">
        <v>72</v>
      </c>
      <c r="K38" s="208">
        <v>0</v>
      </c>
      <c r="L38" s="208">
        <v>0</v>
      </c>
      <c r="M38" s="208">
        <v>0</v>
      </c>
      <c r="N38" s="208">
        <f>12433073.97+11949990.96+9419667.01+15344345.64+12392616.31+11124990.48+15785499.39+15485199.29</f>
        <v>103935383.05000001</v>
      </c>
      <c r="O38" s="208">
        <f t="shared" si="2"/>
        <v>-103935383.05000001</v>
      </c>
      <c r="P38" s="203" t="e">
        <f t="shared" si="1"/>
        <v>#DIV/0!</v>
      </c>
      <c r="Q38" s="111"/>
    </row>
    <row r="39" spans="1:19" s="167" customFormat="1" ht="24.95" customHeight="1" thickBot="1" x14ac:dyDescent="0.25">
      <c r="A39" s="120"/>
      <c r="B39" s="36">
        <v>3</v>
      </c>
      <c r="C39" s="37">
        <v>1</v>
      </c>
      <c r="D39" s="38" t="s">
        <v>6</v>
      </c>
      <c r="E39" s="37">
        <v>2</v>
      </c>
      <c r="F39" s="38">
        <v>13</v>
      </c>
      <c r="G39" s="37"/>
      <c r="H39" s="38"/>
      <c r="I39" s="200">
        <v>3101213</v>
      </c>
      <c r="J39" s="204" t="s">
        <v>18</v>
      </c>
      <c r="K39" s="205">
        <v>0</v>
      </c>
      <c r="L39" s="205">
        <v>0</v>
      </c>
      <c r="M39" s="205">
        <v>0</v>
      </c>
      <c r="N39" s="205">
        <f>890358081+N40</f>
        <v>914026873.84000003</v>
      </c>
      <c r="O39" s="205">
        <f>N39</f>
        <v>914026873.84000003</v>
      </c>
      <c r="P39" s="203"/>
      <c r="Q39" s="121"/>
      <c r="S39" s="172"/>
    </row>
    <row r="40" spans="1:19" s="167" customFormat="1" ht="24.95" hidden="1" customHeight="1" x14ac:dyDescent="0.2">
      <c r="A40" s="120"/>
      <c r="B40" s="46"/>
      <c r="C40" s="46"/>
      <c r="D40" s="47"/>
      <c r="E40" s="46"/>
      <c r="F40" s="47"/>
      <c r="G40" s="46"/>
      <c r="H40" s="47"/>
      <c r="I40" s="200">
        <v>31012131</v>
      </c>
      <c r="J40" s="204" t="s">
        <v>59</v>
      </c>
      <c r="K40" s="205">
        <v>0</v>
      </c>
      <c r="L40" s="205">
        <v>0</v>
      </c>
      <c r="M40" s="205">
        <v>0</v>
      </c>
      <c r="N40" s="205">
        <f>N41+N42+N43</f>
        <v>23668792.84</v>
      </c>
      <c r="O40" s="205">
        <f>O41+O42+O43</f>
        <v>-23668792.84</v>
      </c>
      <c r="P40" s="203"/>
      <c r="Q40" s="121"/>
    </row>
    <row r="41" spans="1:19" s="167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213">
        <v>3101213101</v>
      </c>
      <c r="J41" s="207" t="s">
        <v>64</v>
      </c>
      <c r="K41" s="205">
        <v>0</v>
      </c>
      <c r="L41" s="205">
        <v>0</v>
      </c>
      <c r="M41" s="205">
        <f>K41-L41</f>
        <v>0</v>
      </c>
      <c r="N41" s="208">
        <f>5850637+351626+5227639+46601+5937057+233636+36038</f>
        <v>17683234</v>
      </c>
      <c r="O41" s="208">
        <f t="shared" si="2"/>
        <v>-17683234</v>
      </c>
      <c r="P41" s="203"/>
      <c r="Q41" s="121"/>
    </row>
    <row r="42" spans="1:19" s="167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213">
        <v>3101213103</v>
      </c>
      <c r="J42" s="207" t="s">
        <v>60</v>
      </c>
      <c r="K42" s="208">
        <v>0</v>
      </c>
      <c r="L42" s="208">
        <v>0</v>
      </c>
      <c r="M42" s="208">
        <v>0</v>
      </c>
      <c r="N42" s="208">
        <f>37864.84+10352+387871+387871+388000+4773600</f>
        <v>5985558.8399999999</v>
      </c>
      <c r="O42" s="208">
        <f t="shared" si="2"/>
        <v>-5985558.8399999999</v>
      </c>
      <c r="P42" s="203"/>
      <c r="Q42" s="121"/>
    </row>
    <row r="43" spans="1:19" s="167" customFormat="1" ht="24.95" hidden="1" customHeight="1" x14ac:dyDescent="0.2">
      <c r="A43" s="120"/>
      <c r="B43" s="46"/>
      <c r="C43" s="46"/>
      <c r="D43" s="47"/>
      <c r="E43" s="46"/>
      <c r="F43" s="47"/>
      <c r="G43" s="46"/>
      <c r="H43" s="47"/>
      <c r="I43" s="213">
        <v>3101213105</v>
      </c>
      <c r="J43" s="207" t="s">
        <v>70</v>
      </c>
      <c r="K43" s="208">
        <v>0</v>
      </c>
      <c r="L43" s="208">
        <v>0</v>
      </c>
      <c r="M43" s="208">
        <f>K43-L43</f>
        <v>0</v>
      </c>
      <c r="N43" s="208">
        <v>0</v>
      </c>
      <c r="O43" s="208">
        <v>0</v>
      </c>
      <c r="P43" s="203" t="e">
        <f t="shared" si="1"/>
        <v>#DIV/0!</v>
      </c>
      <c r="Q43" s="121"/>
    </row>
    <row r="44" spans="1:19" s="167" customFormat="1" ht="24.95" customHeight="1" x14ac:dyDescent="0.2">
      <c r="A44" s="120"/>
      <c r="B44" s="46"/>
      <c r="C44" s="46"/>
      <c r="D44" s="47"/>
      <c r="E44" s="46"/>
      <c r="F44" s="47"/>
      <c r="G44" s="46"/>
      <c r="H44" s="47"/>
      <c r="I44" s="214">
        <v>4</v>
      </c>
      <c r="J44" s="215" t="s">
        <v>90</v>
      </c>
      <c r="K44" s="205">
        <f>K45+K46+K47</f>
        <v>2911046910906</v>
      </c>
      <c r="L44" s="205">
        <f>L45+L46+L47</f>
        <v>-223336213333</v>
      </c>
      <c r="M44" s="205">
        <f>K44+L44</f>
        <v>2687710697573</v>
      </c>
      <c r="N44" s="205">
        <f>N45+N46+N47</f>
        <v>2685740065688.3501</v>
      </c>
      <c r="O44" s="205">
        <f>M44-N44</f>
        <v>1970631884.6499023</v>
      </c>
      <c r="P44" s="203">
        <f>N44/M44</f>
        <v>0.99926679910660421</v>
      </c>
      <c r="Q44" s="121"/>
      <c r="R44" s="172"/>
      <c r="S44" s="172"/>
    </row>
    <row r="45" spans="1:19" s="168" customFormat="1" ht="24.95" customHeight="1" x14ac:dyDescent="0.2">
      <c r="A45" s="109"/>
      <c r="B45" s="46"/>
      <c r="C45" s="46"/>
      <c r="D45" s="47"/>
      <c r="E45" s="46"/>
      <c r="F45" s="47"/>
      <c r="G45" s="46"/>
      <c r="H45" s="47"/>
      <c r="I45" s="216">
        <v>41</v>
      </c>
      <c r="J45" s="217" t="s">
        <v>47</v>
      </c>
      <c r="K45" s="208">
        <v>1741000000</v>
      </c>
      <c r="L45" s="205">
        <v>0</v>
      </c>
      <c r="M45" s="208">
        <v>1741000000</v>
      </c>
      <c r="N45" s="208">
        <v>0</v>
      </c>
      <c r="O45" s="208">
        <f t="shared" si="2"/>
        <v>1741000000</v>
      </c>
      <c r="P45" s="203">
        <f t="shared" si="1"/>
        <v>0</v>
      </c>
      <c r="Q45" s="111"/>
      <c r="S45" s="173"/>
    </row>
    <row r="46" spans="1:19" s="168" customFormat="1" ht="24.95" customHeight="1" thickBot="1" x14ac:dyDescent="0.25">
      <c r="A46" s="109"/>
      <c r="B46" s="46"/>
      <c r="C46" s="46"/>
      <c r="D46" s="47"/>
      <c r="E46" s="46"/>
      <c r="F46" s="47"/>
      <c r="G46" s="46"/>
      <c r="H46" s="47"/>
      <c r="I46" s="216">
        <v>42</v>
      </c>
      <c r="J46" s="217" t="s">
        <v>48</v>
      </c>
      <c r="K46" s="208">
        <v>608283882399</v>
      </c>
      <c r="L46" s="205">
        <v>0</v>
      </c>
      <c r="M46" s="208">
        <v>608283882399</v>
      </c>
      <c r="N46" s="218">
        <v>608283882398.34998</v>
      </c>
      <c r="O46" s="208">
        <f t="shared" si="2"/>
        <v>0.6500244140625</v>
      </c>
      <c r="P46" s="203">
        <f t="shared" si="1"/>
        <v>0.99999999999893141</v>
      </c>
      <c r="Q46" s="111"/>
      <c r="R46" s="184"/>
      <c r="S46" s="173"/>
    </row>
    <row r="47" spans="1:19" s="168" customFormat="1" ht="24.95" customHeight="1" x14ac:dyDescent="0.2">
      <c r="A47" s="109"/>
      <c r="B47" s="131"/>
      <c r="C47" s="131"/>
      <c r="D47" s="131"/>
      <c r="E47" s="131"/>
      <c r="F47" s="131"/>
      <c r="G47" s="131"/>
      <c r="H47" s="131"/>
      <c r="I47" s="216">
        <v>43</v>
      </c>
      <c r="J47" s="217" t="s">
        <v>49</v>
      </c>
      <c r="K47" s="208">
        <v>2301022028507</v>
      </c>
      <c r="L47" s="208">
        <f>-(K47-M47)</f>
        <v>-223336213333</v>
      </c>
      <c r="M47" s="208">
        <v>2077685815174</v>
      </c>
      <c r="N47" s="208">
        <v>2077456183290</v>
      </c>
      <c r="O47" s="208">
        <f>M47-N47</f>
        <v>229631884</v>
      </c>
      <c r="P47" s="203">
        <f t="shared" si="1"/>
        <v>0.99988947708921005</v>
      </c>
      <c r="Q47" s="111"/>
      <c r="R47" s="173"/>
      <c r="S47" s="173"/>
    </row>
    <row r="48" spans="1:19" s="183" customFormat="1" ht="31.5" customHeight="1" thickBot="1" x14ac:dyDescent="0.3">
      <c r="A48" s="134"/>
      <c r="B48" s="135"/>
      <c r="C48" s="135"/>
      <c r="D48" s="135"/>
      <c r="E48" s="135"/>
      <c r="F48" s="135"/>
      <c r="G48" s="135"/>
      <c r="H48" s="135"/>
      <c r="I48" s="260" t="s">
        <v>50</v>
      </c>
      <c r="J48" s="261"/>
      <c r="K48" s="219">
        <f>K7+K44</f>
        <v>3101852576145</v>
      </c>
      <c r="L48" s="219">
        <f>L7+L44</f>
        <v>-225457558200</v>
      </c>
      <c r="M48" s="219">
        <f>K48+L48</f>
        <v>2876395017945</v>
      </c>
      <c r="N48" s="219">
        <f>N7+N44</f>
        <v>2965657636194.23</v>
      </c>
      <c r="O48" s="220">
        <f>O7+O44</f>
        <v>-89262618249.230103</v>
      </c>
      <c r="P48" s="221">
        <f>N48/M48</f>
        <v>1.0310328093646199</v>
      </c>
      <c r="Q48" s="138"/>
      <c r="R48" s="184"/>
      <c r="S48" s="184"/>
    </row>
    <row r="49" spans="1:19" ht="40.5" customHeight="1" x14ac:dyDescent="0.2">
      <c r="A49" s="109"/>
      <c r="B49" s="112"/>
      <c r="C49" s="112"/>
      <c r="D49" s="112"/>
      <c r="E49" s="112"/>
      <c r="F49" s="112"/>
      <c r="G49" s="112"/>
      <c r="H49" s="112"/>
      <c r="I49" s="250" t="s">
        <v>84</v>
      </c>
      <c r="J49" s="250"/>
      <c r="K49" s="250"/>
      <c r="L49" s="250"/>
      <c r="M49" s="250"/>
      <c r="N49" s="250"/>
      <c r="O49" s="250"/>
      <c r="P49" s="187"/>
      <c r="Q49" s="111"/>
      <c r="R49" s="130"/>
      <c r="S49" s="130"/>
    </row>
    <row r="50" spans="1:19" ht="40.5" customHeight="1" x14ac:dyDescent="0.2">
      <c r="A50" s="109"/>
      <c r="B50" s="112"/>
      <c r="C50" s="112"/>
      <c r="D50" s="112"/>
      <c r="E50" s="112"/>
      <c r="F50" s="112"/>
      <c r="G50" s="112"/>
      <c r="H50" s="112"/>
      <c r="I50" s="257" t="s">
        <v>92</v>
      </c>
      <c r="J50" s="257"/>
      <c r="K50" s="257"/>
      <c r="L50" s="257"/>
      <c r="M50" s="257"/>
      <c r="N50" s="257"/>
      <c r="O50" s="257"/>
      <c r="P50" s="187"/>
      <c r="Q50" s="111"/>
      <c r="R50" s="130"/>
      <c r="S50" s="130"/>
    </row>
    <row r="51" spans="1:19" ht="13.5" thickBot="1" x14ac:dyDescent="0.25">
      <c r="A51" s="147"/>
      <c r="B51" s="148"/>
      <c r="C51" s="148"/>
      <c r="D51" s="148"/>
      <c r="E51" s="148"/>
      <c r="F51" s="148"/>
      <c r="G51" s="148"/>
      <c r="H51" s="148"/>
      <c r="I51" s="149"/>
      <c r="J51" s="150"/>
      <c r="K51" s="151"/>
      <c r="L51" s="152"/>
      <c r="M51" s="153"/>
      <c r="N51" s="154"/>
      <c r="O51" s="150"/>
      <c r="P51" s="193"/>
      <c r="Q51" s="155"/>
    </row>
  </sheetData>
  <mergeCells count="7">
    <mergeCell ref="I50:O50"/>
    <mergeCell ref="B1:O1"/>
    <mergeCell ref="B4:H4"/>
    <mergeCell ref="B6:H6"/>
    <mergeCell ref="I48:J48"/>
    <mergeCell ref="I49:O49"/>
    <mergeCell ref="I2:O2"/>
  </mergeCells>
  <printOptions horizontalCentered="1"/>
  <pageMargins left="0.17" right="0.15748031496062992" top="0.96" bottom="0.31496062992125984" header="0.23622047244094491" footer="0.27559055118110237"/>
  <pageSetup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9"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226" t="s">
        <v>19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229" t="s">
        <v>20</v>
      </c>
      <c r="C2" s="229"/>
      <c r="D2" s="229"/>
      <c r="E2" s="229"/>
      <c r="F2" s="229"/>
      <c r="G2" s="229"/>
      <c r="H2" s="229"/>
      <c r="I2" s="229"/>
      <c r="J2" s="229"/>
      <c r="K2" s="22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233" t="s">
        <v>21</v>
      </c>
      <c r="C4" s="233"/>
      <c r="D4" s="233"/>
      <c r="E4" s="233"/>
      <c r="F4" s="233"/>
      <c r="G4" s="233"/>
      <c r="H4" s="233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230"/>
      <c r="C6" s="230"/>
      <c r="D6" s="230"/>
      <c r="E6" s="230"/>
      <c r="F6" s="230"/>
      <c r="G6" s="230"/>
      <c r="H6" s="23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234" t="s">
        <v>50</v>
      </c>
      <c r="J34" s="235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231" t="s">
        <v>43</v>
      </c>
      <c r="K36" s="231"/>
      <c r="L36" s="10"/>
      <c r="M36" s="232" t="s">
        <v>42</v>
      </c>
      <c r="N36" s="232"/>
      <c r="O36" s="232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236" t="s">
        <v>33</v>
      </c>
      <c r="K37" s="236"/>
      <c r="L37" s="19"/>
      <c r="M37" s="227" t="s">
        <v>34</v>
      </c>
      <c r="N37" s="227"/>
      <c r="O37" s="227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238" t="s">
        <v>35</v>
      </c>
      <c r="K38" s="238"/>
      <c r="L38" s="21"/>
      <c r="M38" s="228" t="s">
        <v>40</v>
      </c>
      <c r="N38" s="228"/>
      <c r="O38" s="228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232" t="s">
        <v>44</v>
      </c>
      <c r="K40" s="232"/>
      <c r="L40" s="10"/>
      <c r="M40" s="232" t="s">
        <v>45</v>
      </c>
      <c r="N40" s="232"/>
      <c r="O40" s="232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236" t="s">
        <v>41</v>
      </c>
      <c r="K41" s="236"/>
      <c r="L41" s="1" t="s">
        <v>36</v>
      </c>
      <c r="M41" s="227" t="s">
        <v>37</v>
      </c>
      <c r="N41" s="227"/>
      <c r="O41" s="227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237" t="s">
        <v>38</v>
      </c>
      <c r="K42" s="237"/>
      <c r="L42" s="4"/>
      <c r="M42" s="239" t="s">
        <v>39</v>
      </c>
      <c r="N42" s="239"/>
      <c r="O42" s="239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36:K36"/>
    <mergeCell ref="M36:O36"/>
    <mergeCell ref="B1:O1"/>
    <mergeCell ref="B2:K2"/>
    <mergeCell ref="B4:H4"/>
    <mergeCell ref="B6:H6"/>
    <mergeCell ref="I34:J34"/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25" workbookViewId="0">
      <selection activeCell="I39" sqref="I3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226" t="s">
        <v>19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229" t="s">
        <v>20</v>
      </c>
      <c r="C2" s="229"/>
      <c r="D2" s="229"/>
      <c r="E2" s="229"/>
      <c r="F2" s="229"/>
      <c r="G2" s="229"/>
      <c r="H2" s="229"/>
      <c r="I2" s="229"/>
      <c r="J2" s="229"/>
      <c r="K2" s="22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233" t="s">
        <v>21</v>
      </c>
      <c r="C4" s="233"/>
      <c r="D4" s="233"/>
      <c r="E4" s="233"/>
      <c r="F4" s="233"/>
      <c r="G4" s="233"/>
      <c r="H4" s="233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230"/>
      <c r="C6" s="230"/>
      <c r="D6" s="230"/>
      <c r="E6" s="230"/>
      <c r="F6" s="230"/>
      <c r="G6" s="230"/>
      <c r="H6" s="23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234" t="s">
        <v>50</v>
      </c>
      <c r="J38" s="235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231" t="s">
        <v>43</v>
      </c>
      <c r="K40" s="231"/>
      <c r="L40" s="10"/>
      <c r="M40" s="232" t="s">
        <v>42</v>
      </c>
      <c r="N40" s="232"/>
      <c r="O40" s="232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236" t="s">
        <v>33</v>
      </c>
      <c r="K41" s="236"/>
      <c r="L41" s="19"/>
      <c r="M41" s="227" t="s">
        <v>34</v>
      </c>
      <c r="N41" s="227"/>
      <c r="O41" s="227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238" t="s">
        <v>35</v>
      </c>
      <c r="K42" s="238"/>
      <c r="L42" s="21"/>
      <c r="M42" s="228" t="s">
        <v>40</v>
      </c>
      <c r="N42" s="228"/>
      <c r="O42" s="228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232" t="s">
        <v>44</v>
      </c>
      <c r="K44" s="232"/>
      <c r="L44" s="10"/>
      <c r="M44" s="232" t="s">
        <v>45</v>
      </c>
      <c r="N44" s="232"/>
      <c r="O44" s="232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236" t="s">
        <v>41</v>
      </c>
      <c r="K45" s="236"/>
      <c r="L45" s="1" t="s">
        <v>36</v>
      </c>
      <c r="M45" s="227" t="s">
        <v>37</v>
      </c>
      <c r="N45" s="227"/>
      <c r="O45" s="227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237" t="s">
        <v>38</v>
      </c>
      <c r="K46" s="237"/>
      <c r="L46" s="4"/>
      <c r="M46" s="239" t="s">
        <v>39</v>
      </c>
      <c r="N46" s="239"/>
      <c r="O46" s="239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  <mergeCell ref="J40:K40"/>
    <mergeCell ref="M40:O40"/>
    <mergeCell ref="B1:O1"/>
    <mergeCell ref="B2:K2"/>
    <mergeCell ref="B4:H4"/>
    <mergeCell ref="B6:H6"/>
    <mergeCell ref="I38:J38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5" workbookViewId="0">
      <selection activeCell="R30" sqref="R3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226" t="s">
        <v>19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229" t="s">
        <v>20</v>
      </c>
      <c r="C2" s="229"/>
      <c r="D2" s="229"/>
      <c r="E2" s="229"/>
      <c r="F2" s="229"/>
      <c r="G2" s="229"/>
      <c r="H2" s="229"/>
      <c r="I2" s="229"/>
      <c r="J2" s="229"/>
      <c r="K2" s="22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233" t="s">
        <v>21</v>
      </c>
      <c r="C4" s="233"/>
      <c r="D4" s="233"/>
      <c r="E4" s="233"/>
      <c r="F4" s="233"/>
      <c r="G4" s="233"/>
      <c r="H4" s="233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230"/>
      <c r="C6" s="230"/>
      <c r="D6" s="230"/>
      <c r="E6" s="230"/>
      <c r="F6" s="230"/>
      <c r="G6" s="230"/>
      <c r="H6" s="23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8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8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8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8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8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8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8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8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8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  <c r="R30" t="s">
        <v>81</v>
      </c>
    </row>
    <row r="31" spans="1:18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8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234" t="s">
        <v>50</v>
      </c>
      <c r="J40" s="235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231" t="s">
        <v>43</v>
      </c>
      <c r="K42" s="231"/>
      <c r="L42" s="10"/>
      <c r="M42" s="232" t="s">
        <v>42</v>
      </c>
      <c r="N42" s="232"/>
      <c r="O42" s="232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236" t="s">
        <v>33</v>
      </c>
      <c r="K43" s="236"/>
      <c r="L43" s="19"/>
      <c r="M43" s="227" t="s">
        <v>34</v>
      </c>
      <c r="N43" s="227"/>
      <c r="O43" s="227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238" t="s">
        <v>35</v>
      </c>
      <c r="K44" s="238"/>
      <c r="L44" s="21"/>
      <c r="M44" s="228" t="s">
        <v>40</v>
      </c>
      <c r="N44" s="228"/>
      <c r="O44" s="228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232" t="s">
        <v>44</v>
      </c>
      <c r="K46" s="232"/>
      <c r="L46" s="10"/>
      <c r="M46" s="232" t="s">
        <v>45</v>
      </c>
      <c r="N46" s="232"/>
      <c r="O46" s="232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236" t="s">
        <v>41</v>
      </c>
      <c r="K47" s="236"/>
      <c r="L47" s="1" t="s">
        <v>36</v>
      </c>
      <c r="M47" s="227" t="s">
        <v>37</v>
      </c>
      <c r="N47" s="227"/>
      <c r="O47" s="227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237" t="s">
        <v>38</v>
      </c>
      <c r="K48" s="237"/>
      <c r="L48" s="4"/>
      <c r="M48" s="239" t="s">
        <v>39</v>
      </c>
      <c r="N48" s="239"/>
      <c r="O48" s="239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  <mergeCell ref="J42:K42"/>
    <mergeCell ref="M42:O42"/>
    <mergeCell ref="B1:O1"/>
    <mergeCell ref="B2:K2"/>
    <mergeCell ref="B4:H4"/>
    <mergeCell ref="B6:H6"/>
    <mergeCell ref="I40:J40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5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226" t="s">
        <v>19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229" t="s">
        <v>20</v>
      </c>
      <c r="C2" s="229"/>
      <c r="D2" s="229"/>
      <c r="E2" s="229"/>
      <c r="F2" s="229"/>
      <c r="G2" s="229"/>
      <c r="H2" s="229"/>
      <c r="I2" s="229"/>
      <c r="J2" s="229"/>
      <c r="K2" s="22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233" t="s">
        <v>21</v>
      </c>
      <c r="C4" s="233"/>
      <c r="D4" s="233"/>
      <c r="E4" s="233"/>
      <c r="F4" s="233"/>
      <c r="G4" s="233"/>
      <c r="H4" s="233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230"/>
      <c r="C6" s="230"/>
      <c r="D6" s="230"/>
      <c r="E6" s="230"/>
      <c r="F6" s="230"/>
      <c r="G6" s="230"/>
      <c r="H6" s="23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234" t="s">
        <v>50</v>
      </c>
      <c r="J46" s="235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231" t="s">
        <v>43</v>
      </c>
      <c r="K48" s="231"/>
      <c r="L48" s="10"/>
      <c r="M48" s="232" t="s">
        <v>42</v>
      </c>
      <c r="N48" s="232"/>
      <c r="O48" s="232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236" t="s">
        <v>33</v>
      </c>
      <c r="K49" s="236"/>
      <c r="L49" s="19"/>
      <c r="M49" s="227" t="s">
        <v>34</v>
      </c>
      <c r="N49" s="227"/>
      <c r="O49" s="227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238" t="s">
        <v>35</v>
      </c>
      <c r="K50" s="238"/>
      <c r="L50" s="21"/>
      <c r="M50" s="228" t="s">
        <v>40</v>
      </c>
      <c r="N50" s="228"/>
      <c r="O50" s="228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232" t="s">
        <v>44</v>
      </c>
      <c r="K52" s="232"/>
      <c r="L52" s="10"/>
      <c r="M52" s="232" t="s">
        <v>45</v>
      </c>
      <c r="N52" s="232"/>
      <c r="O52" s="232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236" t="s">
        <v>41</v>
      </c>
      <c r="K53" s="236"/>
      <c r="L53" s="1" t="s">
        <v>36</v>
      </c>
      <c r="M53" s="227" t="s">
        <v>37</v>
      </c>
      <c r="N53" s="227"/>
      <c r="O53" s="227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237" t="s">
        <v>38</v>
      </c>
      <c r="K54" s="237"/>
      <c r="L54" s="4"/>
      <c r="M54" s="239" t="s">
        <v>39</v>
      </c>
      <c r="N54" s="239"/>
      <c r="O54" s="239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  <mergeCell ref="J48:K48"/>
    <mergeCell ref="M48:O48"/>
    <mergeCell ref="B1:O1"/>
    <mergeCell ref="B2:K2"/>
    <mergeCell ref="B4:H4"/>
    <mergeCell ref="B6:H6"/>
    <mergeCell ref="I46:J46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" workbookViewId="0">
      <selection activeCell="R13" sqref="R1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40" t="s">
        <v>19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41" t="s">
        <v>20</v>
      </c>
      <c r="C2" s="241"/>
      <c r="D2" s="241"/>
      <c r="E2" s="241"/>
      <c r="F2" s="241"/>
      <c r="G2" s="241"/>
      <c r="H2" s="241"/>
      <c r="I2" s="241"/>
      <c r="J2" s="241"/>
      <c r="K2" s="241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15" t="s">
        <v>21</v>
      </c>
      <c r="J4" s="112" t="s">
        <v>22</v>
      </c>
      <c r="K4" s="110"/>
      <c r="L4" s="116" t="s">
        <v>23</v>
      </c>
      <c r="M4" s="110" t="s">
        <v>74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24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163077717787.63</v>
      </c>
      <c r="O7" s="61">
        <f>M7-N7</f>
        <v>27727947451.369995</v>
      </c>
      <c r="P7" s="121"/>
      <c r="R7" s="159">
        <f>N7/M7</f>
        <v>0.85467964267917085</v>
      </c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163077717787.63</v>
      </c>
      <c r="O8" s="61">
        <f t="shared" ref="O8:O46" si="1">M8-N8</f>
        <v>27727947451.369995</v>
      </c>
      <c r="P8" s="121"/>
      <c r="R8" s="122">
        <f>N7/M7</f>
        <v>0.85467964267917085</v>
      </c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163077717787.63</v>
      </c>
      <c r="O9" s="61">
        <f t="shared" si="1"/>
        <v>27727947451.369995</v>
      </c>
      <c r="P9" s="121"/>
      <c r="R9" s="160">
        <f>100%-R8</f>
        <v>0.14532035732082915</v>
      </c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149465389666.14999</v>
      </c>
      <c r="O10" s="61">
        <f t="shared" si="1"/>
        <v>39640275572.850006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149465389666.14999</v>
      </c>
      <c r="O11" s="104">
        <f t="shared" si="1"/>
        <v>39640275572.850006</v>
      </c>
      <c r="P11" s="121"/>
      <c r="R11" s="159">
        <f>O7/M7</f>
        <v>0.14532035732082918</v>
      </c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141607345234.14999</v>
      </c>
      <c r="O12" s="104">
        <f>M12-N12</f>
        <v>-141607345234.14999</v>
      </c>
      <c r="P12" s="121"/>
      <c r="R12" s="161">
        <f>R7+R11</f>
        <v>1</v>
      </c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</f>
        <v>136661365234.14999</v>
      </c>
      <c r="O14" s="61">
        <f t="shared" si="1"/>
        <v>-136661365234.14999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7047260485</v>
      </c>
      <c r="O15" s="61">
        <f t="shared" si="1"/>
        <v>-7047260485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7047260485</v>
      </c>
      <c r="O16" s="61">
        <f t="shared" si="1"/>
        <v>-7047260485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</f>
        <v>7047260485</v>
      </c>
      <c r="O17" s="61">
        <f t="shared" si="1"/>
        <v>-7047260485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113027554</v>
      </c>
      <c r="O18" s="61">
        <f t="shared" si="1"/>
        <v>188992637685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113027554</v>
      </c>
      <c r="O19" s="61">
        <f t="shared" si="1"/>
        <v>-113027554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108578141</v>
      </c>
      <c r="O20" s="61">
        <f t="shared" si="1"/>
        <v>-108578141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108578141</v>
      </c>
      <c r="O21" s="61">
        <f t="shared" si="1"/>
        <v>-108578141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</f>
        <v>108578141</v>
      </c>
      <c r="O22" s="64">
        <f t="shared" si="1"/>
        <v>-108578141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4449413</v>
      </c>
      <c r="O23" s="61">
        <f t="shared" si="1"/>
        <v>-4449413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4449413</v>
      </c>
      <c r="O24" s="61">
        <f t="shared" si="1"/>
        <v>-4449413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</f>
        <v>4449413</v>
      </c>
      <c r="O25" s="64">
        <f t="shared" si="1"/>
        <v>-4449413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>
        <f>+N27/1000000</f>
        <v>697.756393</v>
      </c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13612328121.480001</v>
      </c>
      <c r="O28" s="61">
        <f t="shared" si="1"/>
        <v>-11912328121.480001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10746046529.640001</v>
      </c>
      <c r="O31" s="61">
        <f t="shared" si="1"/>
        <v>-10746046529.640001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10721663464.710001</v>
      </c>
      <c r="O32" s="61">
        <f t="shared" si="1"/>
        <v>-10721663464.710001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</f>
        <v>149483626.03999999</v>
      </c>
      <c r="O33" s="61">
        <f t="shared" si="1"/>
        <v>-149483626.03999999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</f>
        <v>119991955.19</v>
      </c>
      <c r="O34" s="64">
        <f t="shared" si="1"/>
        <v>-119991955.19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24383064.93</v>
      </c>
      <c r="O36" s="61">
        <f t="shared" si="1"/>
        <v>-24383064.93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</f>
        <v>24383064.93</v>
      </c>
      <c r="O37" s="64">
        <f t="shared" si="1"/>
        <v>-24383064.93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>
        <f>N38/1000000</f>
        <v>1166.2815918399999</v>
      </c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  <c r="R40" s="122">
        <f>+N40/1000000</f>
        <v>11.429902</v>
      </c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44" t="s">
        <v>50</v>
      </c>
      <c r="J47" s="245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635584258962.63</v>
      </c>
      <c r="O47" s="137">
        <f>M47-N47</f>
        <v>2281173317182.3701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50" t="s">
        <v>77</v>
      </c>
      <c r="J48" s="250"/>
      <c r="K48" s="250"/>
      <c r="L48" s="250"/>
      <c r="M48" s="250"/>
      <c r="N48" s="250"/>
      <c r="O48" s="250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54" t="s">
        <v>43</v>
      </c>
      <c r="K49" s="254"/>
      <c r="L49" s="110"/>
      <c r="M49" s="253" t="s">
        <v>42</v>
      </c>
      <c r="N49" s="253"/>
      <c r="O49" s="253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246" t="s">
        <v>33</v>
      </c>
      <c r="K50" s="246"/>
      <c r="L50" s="141"/>
      <c r="M50" s="247" t="s">
        <v>34</v>
      </c>
      <c r="N50" s="247"/>
      <c r="O50" s="247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51" t="s">
        <v>35</v>
      </c>
      <c r="K51" s="251"/>
      <c r="L51" s="142"/>
      <c r="M51" s="252" t="s">
        <v>40</v>
      </c>
      <c r="N51" s="252"/>
      <c r="O51" s="252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53" t="s">
        <v>44</v>
      </c>
      <c r="K53" s="253"/>
      <c r="L53" s="110"/>
      <c r="M53" s="253" t="s">
        <v>45</v>
      </c>
      <c r="N53" s="253"/>
      <c r="O53" s="253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246" t="s">
        <v>41</v>
      </c>
      <c r="K54" s="246"/>
      <c r="L54" s="145" t="s">
        <v>36</v>
      </c>
      <c r="M54" s="247" t="s">
        <v>37</v>
      </c>
      <c r="N54" s="247"/>
      <c r="O54" s="247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48" t="s">
        <v>38</v>
      </c>
      <c r="K55" s="248"/>
      <c r="L55" s="146"/>
      <c r="M55" s="249" t="s">
        <v>39</v>
      </c>
      <c r="N55" s="249"/>
      <c r="O55" s="249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4:K54"/>
    <mergeCell ref="M54:O54"/>
    <mergeCell ref="J55:K55"/>
    <mergeCell ref="M55:O55"/>
    <mergeCell ref="I48:O48"/>
    <mergeCell ref="J50:K50"/>
    <mergeCell ref="M50:O50"/>
    <mergeCell ref="J51:K51"/>
    <mergeCell ref="M51:O51"/>
    <mergeCell ref="J53:K53"/>
    <mergeCell ref="M53:O53"/>
    <mergeCell ref="J49:K49"/>
    <mergeCell ref="M49:O49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6" workbookViewId="0">
      <selection activeCell="R6" sqref="R6:R50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40" t="s">
        <v>19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41" t="s">
        <v>20</v>
      </c>
      <c r="C2" s="241"/>
      <c r="D2" s="241"/>
      <c r="E2" s="241"/>
      <c r="F2" s="241"/>
      <c r="G2" s="241"/>
      <c r="H2" s="241"/>
      <c r="I2" s="241"/>
      <c r="J2" s="241"/>
      <c r="K2" s="241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15" t="s">
        <v>21</v>
      </c>
      <c r="J4" s="112" t="s">
        <v>22</v>
      </c>
      <c r="K4" s="110"/>
      <c r="L4" s="116" t="s">
        <v>23</v>
      </c>
      <c r="M4" s="110" t="s">
        <v>78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181851901322.13</v>
      </c>
      <c r="O7" s="61">
        <f>M7-N7</f>
        <v>8953763916.8699951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181851901322.13</v>
      </c>
      <c r="O8" s="61">
        <f t="shared" ref="O8:O46" si="1">M8-N8</f>
        <v>8953763916.8699951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181851901322.13</v>
      </c>
      <c r="O9" s="61">
        <f t="shared" si="1"/>
        <v>8953763916.8699951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167868208073.14999</v>
      </c>
      <c r="O10" s="61">
        <f t="shared" si="1"/>
        <v>21237457165.850006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167868208073.14999</v>
      </c>
      <c r="O11" s="104">
        <f t="shared" si="1"/>
        <v>21237457165.850006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159946317134.14999</v>
      </c>
      <c r="O12" s="104">
        <f>M12-N12</f>
        <v>-159946317134.14999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</f>
        <v>155000337134.14999</v>
      </c>
      <c r="O14" s="61">
        <f t="shared" si="1"/>
        <v>-155000337134.14999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7047437981</v>
      </c>
      <c r="O15" s="61">
        <f t="shared" si="1"/>
        <v>-7047437981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7047437981</v>
      </c>
      <c r="O16" s="61">
        <f t="shared" si="1"/>
        <v>-7047437981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</f>
        <v>7047437981</v>
      </c>
      <c r="O17" s="61">
        <f t="shared" si="1"/>
        <v>-7047437981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176696565</v>
      </c>
      <c r="O18" s="61">
        <f t="shared" si="1"/>
        <v>188928968674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176696565</v>
      </c>
      <c r="O19" s="61">
        <f t="shared" si="1"/>
        <v>-176696565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5604502</v>
      </c>
      <c r="O23" s="61">
        <f t="shared" si="1"/>
        <v>-5604502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5604502</v>
      </c>
      <c r="O24" s="61">
        <f t="shared" si="1"/>
        <v>-5604502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</f>
        <v>5604502</v>
      </c>
      <c r="O25" s="64">
        <f t="shared" si="1"/>
        <v>-5604502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13983693248.980001</v>
      </c>
      <c r="O28" s="61">
        <f t="shared" si="1"/>
        <v>-12283693248.980001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11117411657.140001</v>
      </c>
      <c r="O31" s="61">
        <f t="shared" si="1"/>
        <v>-11117411657.140001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11083608925.200001</v>
      </c>
      <c r="O32" s="61">
        <f t="shared" si="1"/>
        <v>-11083608925.200001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</f>
        <v>511429086.52999997</v>
      </c>
      <c r="O33" s="61">
        <f t="shared" si="1"/>
        <v>-511429086.52999997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</f>
        <v>481937415.68000001</v>
      </c>
      <c r="O34" s="64">
        <f t="shared" si="1"/>
        <v>-481937415.68000001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33802731.939999998</v>
      </c>
      <c r="O36" s="61">
        <f t="shared" si="1"/>
        <v>-33802731.939999998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</f>
        <v>33802731.939999998</v>
      </c>
      <c r="O37" s="64">
        <f t="shared" si="1"/>
        <v>-33802731.939999998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44" t="s">
        <v>50</v>
      </c>
      <c r="J47" s="245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654358442497.13</v>
      </c>
      <c r="O47" s="137">
        <f>M47-N47</f>
        <v>2262399133647.8701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50" t="s">
        <v>77</v>
      </c>
      <c r="J48" s="250"/>
      <c r="K48" s="250"/>
      <c r="L48" s="250"/>
      <c r="M48" s="250"/>
      <c r="N48" s="250"/>
      <c r="O48" s="250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54" t="s">
        <v>43</v>
      </c>
      <c r="K49" s="254"/>
      <c r="L49" s="110"/>
      <c r="M49" s="253" t="s">
        <v>42</v>
      </c>
      <c r="N49" s="253"/>
      <c r="O49" s="253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246" t="s">
        <v>33</v>
      </c>
      <c r="K50" s="246"/>
      <c r="L50" s="141"/>
      <c r="M50" s="247" t="s">
        <v>34</v>
      </c>
      <c r="N50" s="247"/>
      <c r="O50" s="247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51" t="s">
        <v>35</v>
      </c>
      <c r="K51" s="251"/>
      <c r="L51" s="142"/>
      <c r="M51" s="252" t="s">
        <v>40</v>
      </c>
      <c r="N51" s="252"/>
      <c r="O51" s="252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53" t="s">
        <v>44</v>
      </c>
      <c r="K53" s="253"/>
      <c r="L53" s="110"/>
      <c r="M53" s="253" t="s">
        <v>45</v>
      </c>
      <c r="N53" s="253"/>
      <c r="O53" s="253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246" t="s">
        <v>41</v>
      </c>
      <c r="K54" s="246"/>
      <c r="L54" s="145" t="s">
        <v>36</v>
      </c>
      <c r="M54" s="247" t="s">
        <v>37</v>
      </c>
      <c r="N54" s="247"/>
      <c r="O54" s="247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48" t="s">
        <v>38</v>
      </c>
      <c r="K55" s="248"/>
      <c r="L55" s="146"/>
      <c r="M55" s="249" t="s">
        <v>39</v>
      </c>
      <c r="N55" s="249"/>
      <c r="O55" s="249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I48:O48"/>
    <mergeCell ref="B1:O1"/>
    <mergeCell ref="B2:K2"/>
    <mergeCell ref="B4:H4"/>
    <mergeCell ref="B6:H6"/>
    <mergeCell ref="I47:J47"/>
    <mergeCell ref="J49:K49"/>
    <mergeCell ref="M49:O49"/>
    <mergeCell ref="J50:K50"/>
    <mergeCell ref="M50:O50"/>
    <mergeCell ref="J51:K51"/>
    <mergeCell ref="M51:O51"/>
    <mergeCell ref="J53:K53"/>
    <mergeCell ref="M53:O53"/>
    <mergeCell ref="J54:K54"/>
    <mergeCell ref="M54:O54"/>
    <mergeCell ref="J55:K55"/>
    <mergeCell ref="M55:O55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N43" sqref="N4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40" t="s">
        <v>19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41" t="s">
        <v>20</v>
      </c>
      <c r="C2" s="241"/>
      <c r="D2" s="241"/>
      <c r="E2" s="241"/>
      <c r="F2" s="241"/>
      <c r="G2" s="241"/>
      <c r="H2" s="241"/>
      <c r="I2" s="241"/>
      <c r="J2" s="241"/>
      <c r="K2" s="241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15" t="s">
        <v>21</v>
      </c>
      <c r="J4" s="112" t="s">
        <v>22</v>
      </c>
      <c r="K4" s="110"/>
      <c r="L4" s="116" t="s">
        <v>23</v>
      </c>
      <c r="M4" s="110" t="s">
        <v>79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199591563714.85001</v>
      </c>
      <c r="O7" s="61">
        <f>M7-N7</f>
        <v>-8785898475.8500061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199591563714.85001</v>
      </c>
      <c r="O8" s="61">
        <f t="shared" ref="O8:O46" si="1">M8-N8</f>
        <v>-8785898475.8500061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199591563714.85001</v>
      </c>
      <c r="O9" s="61">
        <f t="shared" si="1"/>
        <v>-8785898475.8500061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185579771349.14999</v>
      </c>
      <c r="O10" s="61">
        <f t="shared" si="1"/>
        <v>3525893889.8500061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185579771349.14999</v>
      </c>
      <c r="O11" s="104">
        <f t="shared" si="1"/>
        <v>3525893889.8500061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177645821835.14999</v>
      </c>
      <c r="O12" s="104">
        <f>M12-N12</f>
        <v>-177645821835.14999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</f>
        <v>172699841835.14999</v>
      </c>
      <c r="O14" s="61">
        <f t="shared" si="1"/>
        <v>-172699841835.14999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7059370420</v>
      </c>
      <c r="O15" s="61">
        <f t="shared" si="1"/>
        <v>-7059370420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7059370420</v>
      </c>
      <c r="O16" s="61">
        <f t="shared" si="1"/>
        <v>-7059370420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</f>
        <v>7059370420</v>
      </c>
      <c r="O17" s="61">
        <f t="shared" si="1"/>
        <v>-7059370420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176822701</v>
      </c>
      <c r="O18" s="61">
        <f t="shared" si="1"/>
        <v>188928842538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176822701</v>
      </c>
      <c r="O19" s="61">
        <f t="shared" si="1"/>
        <v>-176822701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5730638</v>
      </c>
      <c r="O23" s="61">
        <f t="shared" si="1"/>
        <v>-5730638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5730638</v>
      </c>
      <c r="O24" s="61">
        <f t="shared" si="1"/>
        <v>-5730638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</f>
        <v>5730638</v>
      </c>
      <c r="O25" s="64">
        <f t="shared" si="1"/>
        <v>-5730638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14011792365.700001</v>
      </c>
      <c r="O28" s="61">
        <f t="shared" si="1"/>
        <v>-12311792365.700001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11145510773.860001</v>
      </c>
      <c r="O31" s="61">
        <f t="shared" si="1"/>
        <v>-11145510773.860001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11096363696.280001</v>
      </c>
      <c r="O32" s="61">
        <f t="shared" si="1"/>
        <v>-11096363696.280001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</f>
        <v>524183857.60999995</v>
      </c>
      <c r="O33" s="61">
        <f t="shared" si="1"/>
        <v>-524183857.60999995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</f>
        <v>494692186.75999999</v>
      </c>
      <c r="O34" s="64">
        <f t="shared" si="1"/>
        <v>-494692186.75999999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49147077.579999998</v>
      </c>
      <c r="O36" s="61">
        <f t="shared" si="1"/>
        <v>-49147077.579999998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</f>
        <v>49147077.579999998</v>
      </c>
      <c r="O37" s="64">
        <f t="shared" si="1"/>
        <v>-49147077.579999998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44" t="s">
        <v>50</v>
      </c>
      <c r="J47" s="245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672098104889.84998</v>
      </c>
      <c r="O47" s="137">
        <f>M47-N47</f>
        <v>2244659471255.1499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50" t="s">
        <v>77</v>
      </c>
      <c r="J48" s="250"/>
      <c r="K48" s="250"/>
      <c r="L48" s="250"/>
      <c r="M48" s="250"/>
      <c r="N48" s="250"/>
      <c r="O48" s="250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54" t="s">
        <v>43</v>
      </c>
      <c r="K49" s="254"/>
      <c r="L49" s="110"/>
      <c r="M49" s="253" t="s">
        <v>42</v>
      </c>
      <c r="N49" s="253"/>
      <c r="O49" s="253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246" t="s">
        <v>33</v>
      </c>
      <c r="K50" s="246"/>
      <c r="L50" s="141"/>
      <c r="M50" s="247" t="s">
        <v>34</v>
      </c>
      <c r="N50" s="247"/>
      <c r="O50" s="247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51" t="s">
        <v>35</v>
      </c>
      <c r="K51" s="251"/>
      <c r="L51" s="142"/>
      <c r="M51" s="252" t="s">
        <v>40</v>
      </c>
      <c r="N51" s="252"/>
      <c r="O51" s="252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53" t="s">
        <v>44</v>
      </c>
      <c r="K53" s="253"/>
      <c r="L53" s="110"/>
      <c r="M53" s="253" t="s">
        <v>45</v>
      </c>
      <c r="N53" s="253"/>
      <c r="O53" s="253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246" t="s">
        <v>41</v>
      </c>
      <c r="K54" s="246"/>
      <c r="L54" s="145" t="s">
        <v>36</v>
      </c>
      <c r="M54" s="247" t="s">
        <v>37</v>
      </c>
      <c r="N54" s="247"/>
      <c r="O54" s="247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48" t="s">
        <v>38</v>
      </c>
      <c r="K55" s="248"/>
      <c r="L55" s="146"/>
      <c r="M55" s="249" t="s">
        <v>39</v>
      </c>
      <c r="N55" s="249"/>
      <c r="O55" s="249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3:K53"/>
    <mergeCell ref="M53:O53"/>
    <mergeCell ref="J54:K54"/>
    <mergeCell ref="M54:O54"/>
    <mergeCell ref="J55:K55"/>
    <mergeCell ref="M55:O55"/>
    <mergeCell ref="J49:K49"/>
    <mergeCell ref="M49:O49"/>
    <mergeCell ref="J50:K50"/>
    <mergeCell ref="M50:O50"/>
    <mergeCell ref="J51:K51"/>
    <mergeCell ref="M51:O51"/>
    <mergeCell ref="I48:O48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34" zoomScaleNormal="100" workbookViewId="0">
      <selection activeCell="N45" sqref="N45:N46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18.5703125" style="108" customWidth="1"/>
    <col min="16" max="16" width="21" style="108" customWidth="1"/>
    <col min="17" max="17" width="3.140625" style="108" customWidth="1"/>
    <col min="18" max="18" width="11.42578125" style="108"/>
    <col min="19" max="19" width="20.42578125" style="108" bestFit="1" customWidth="1"/>
    <col min="20" max="16384" width="11.42578125" style="108"/>
  </cols>
  <sheetData>
    <row r="1" spans="1:23" ht="27.75" customHeight="1" x14ac:dyDescent="0.2">
      <c r="A1" s="105"/>
      <c r="B1" s="240" t="s">
        <v>19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106"/>
      <c r="R1" s="107"/>
      <c r="S1" s="107"/>
      <c r="T1" s="107"/>
      <c r="U1" s="107"/>
      <c r="V1" s="107"/>
      <c r="W1" s="107"/>
    </row>
    <row r="2" spans="1:23" ht="19.5" customHeight="1" x14ac:dyDescent="0.2">
      <c r="A2" s="109"/>
      <c r="B2" s="241" t="s">
        <v>20</v>
      </c>
      <c r="C2" s="241"/>
      <c r="D2" s="241"/>
      <c r="E2" s="241"/>
      <c r="F2" s="241"/>
      <c r="G2" s="241"/>
      <c r="H2" s="241"/>
      <c r="I2" s="241"/>
      <c r="J2" s="241"/>
      <c r="K2" s="241"/>
      <c r="L2" s="110"/>
      <c r="M2" s="110"/>
      <c r="N2" s="110"/>
      <c r="O2" s="110"/>
      <c r="P2" s="110"/>
      <c r="Q2" s="111"/>
      <c r="R2" s="110"/>
      <c r="S2" s="110"/>
      <c r="T2" s="110"/>
      <c r="U2" s="110"/>
      <c r="V2" s="110"/>
      <c r="W2" s="110"/>
    </row>
    <row r="3" spans="1:23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0"/>
      <c r="Q3" s="111"/>
      <c r="R3" s="114"/>
      <c r="S3" s="114"/>
      <c r="T3" s="114"/>
      <c r="U3" s="114"/>
      <c r="V3" s="114"/>
      <c r="W3" s="114"/>
    </row>
    <row r="4" spans="1:23" ht="24.75" customHeight="1" x14ac:dyDescent="0.2">
      <c r="A4" s="109"/>
      <c r="B4" s="242" t="s">
        <v>21</v>
      </c>
      <c r="C4" s="242"/>
      <c r="D4" s="242"/>
      <c r="E4" s="242"/>
      <c r="F4" s="242"/>
      <c r="G4" s="242"/>
      <c r="H4" s="242"/>
      <c r="I4" s="115" t="s">
        <v>21</v>
      </c>
      <c r="J4" s="112" t="s">
        <v>22</v>
      </c>
      <c r="K4" s="110"/>
      <c r="L4" s="116" t="s">
        <v>23</v>
      </c>
      <c r="M4" s="110" t="s">
        <v>82</v>
      </c>
      <c r="N4" s="110" t="s">
        <v>25</v>
      </c>
      <c r="O4" s="110"/>
      <c r="P4" s="110"/>
      <c r="Q4" s="111"/>
      <c r="R4" s="114"/>
      <c r="S4" s="114"/>
      <c r="T4" s="114"/>
      <c r="U4" s="114"/>
      <c r="V4" s="114"/>
      <c r="W4" s="114"/>
    </row>
    <row r="5" spans="1:23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0"/>
      <c r="Q5" s="111"/>
      <c r="R5" s="114"/>
      <c r="S5" s="114"/>
      <c r="T5" s="114"/>
      <c r="U5" s="114"/>
      <c r="V5" s="114"/>
      <c r="W5" s="114"/>
    </row>
    <row r="6" spans="1:23" ht="60" customHeight="1" thickBot="1" x14ac:dyDescent="0.25">
      <c r="A6" s="109"/>
      <c r="B6" s="243"/>
      <c r="C6" s="243"/>
      <c r="D6" s="243"/>
      <c r="E6" s="243"/>
      <c r="F6" s="243"/>
      <c r="G6" s="243"/>
      <c r="H6" s="243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80</v>
      </c>
      <c r="P6" s="119" t="s">
        <v>32</v>
      </c>
      <c r="Q6" s="111"/>
    </row>
    <row r="7" spans="1:23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 t="shared" ref="N7:P8" si="1">N8</f>
        <v>219556411137.22</v>
      </c>
      <c r="O7" s="163">
        <f t="shared" si="1"/>
        <v>264445392</v>
      </c>
      <c r="P7" s="61">
        <f t="shared" si="1"/>
        <v>-28486300506.220001</v>
      </c>
      <c r="Q7" s="121"/>
    </row>
    <row r="8" spans="1:23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1"/>
        <v>219556411137.22</v>
      </c>
      <c r="O8" s="62">
        <f t="shared" si="1"/>
        <v>264445392</v>
      </c>
      <c r="P8" s="61">
        <f t="shared" si="1"/>
        <v>-28486300506.220001</v>
      </c>
      <c r="Q8" s="121"/>
    </row>
    <row r="9" spans="1:23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219556411137.22</v>
      </c>
      <c r="O9" s="62">
        <f>O28</f>
        <v>264445392</v>
      </c>
      <c r="P9" s="61">
        <f>-(N9-O9-M9)</f>
        <v>-28486300506.220001</v>
      </c>
      <c r="Q9" s="121"/>
    </row>
    <row r="10" spans="1:23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205523195601.14999</v>
      </c>
      <c r="O10" s="62">
        <v>0</v>
      </c>
      <c r="P10" s="61">
        <f t="shared" ref="P10:P46" si="3">M10-N10</f>
        <v>-16417530362.149994</v>
      </c>
      <c r="Q10" s="121"/>
    </row>
    <row r="11" spans="1:23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205523195601.14999</v>
      </c>
      <c r="O11" s="103">
        <v>0</v>
      </c>
      <c r="P11" s="104">
        <f t="shared" si="3"/>
        <v>-16417530362.149994</v>
      </c>
      <c r="Q11" s="121"/>
      <c r="S11" s="123"/>
    </row>
    <row r="12" spans="1:23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197521585194.14999</v>
      </c>
      <c r="O12" s="103">
        <v>0</v>
      </c>
      <c r="P12" s="104">
        <f>M12-N12</f>
        <v>-197521585194.14999</v>
      </c>
      <c r="Q12" s="121"/>
    </row>
    <row r="13" spans="1:23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f>4945980000+556350688</f>
        <v>5502330688</v>
      </c>
      <c r="O13" s="63">
        <v>0</v>
      </c>
      <c r="P13" s="64">
        <f>M13-N13</f>
        <v>-5502330688</v>
      </c>
      <c r="Q13" s="121"/>
    </row>
    <row r="14" spans="1:23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15834808561+54563706869.15+15896717950+17769247126+15777249110+16819635618+18338971900+17699504701+19319412671</f>
        <v>192019254506.14999</v>
      </c>
      <c r="O14" s="63">
        <v>0</v>
      </c>
      <c r="P14" s="61">
        <f t="shared" si="3"/>
        <v>-192019254506.14999</v>
      </c>
      <c r="Q14" s="111"/>
    </row>
    <row r="15" spans="1:23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7074719098</v>
      </c>
      <c r="O15" s="62">
        <v>0</v>
      </c>
      <c r="P15" s="61">
        <f t="shared" si="3"/>
        <v>-7074719098</v>
      </c>
      <c r="Q15" s="121"/>
    </row>
    <row r="16" spans="1:23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7074719098</v>
      </c>
      <c r="O16" s="62">
        <v>0</v>
      </c>
      <c r="P16" s="61">
        <f t="shared" si="3"/>
        <v>-7074719098</v>
      </c>
      <c r="Q16" s="121"/>
    </row>
    <row r="17" spans="1:19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2273136243+2236946051+6917490+3458745+4140580+2522661376+177496+11932439+15348678</f>
        <v>7074719098</v>
      </c>
      <c r="O17" s="63">
        <v>0</v>
      </c>
      <c r="P17" s="61">
        <f t="shared" si="3"/>
        <v>-7074719098</v>
      </c>
      <c r="Q17" s="111"/>
    </row>
    <row r="18" spans="1:19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229134916</v>
      </c>
      <c r="O18" s="62">
        <v>0</v>
      </c>
      <c r="P18" s="61">
        <f t="shared" si="3"/>
        <v>188876530323</v>
      </c>
      <c r="Q18" s="121"/>
    </row>
    <row r="19" spans="1:19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229134916</v>
      </c>
      <c r="O19" s="62">
        <v>0</v>
      </c>
      <c r="P19" s="61">
        <f t="shared" si="3"/>
        <v>-229134916</v>
      </c>
      <c r="Q19" s="121"/>
    </row>
    <row r="20" spans="1:19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223019541</v>
      </c>
      <c r="O20" s="62">
        <v>0</v>
      </c>
      <c r="P20" s="61">
        <f t="shared" si="3"/>
        <v>-223019541</v>
      </c>
      <c r="Q20" s="121"/>
    </row>
    <row r="21" spans="1:19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223019541</v>
      </c>
      <c r="O21" s="62">
        <v>0</v>
      </c>
      <c r="P21" s="61">
        <f t="shared" si="3"/>
        <v>-223019541</v>
      </c>
      <c r="Q21" s="121"/>
    </row>
    <row r="22" spans="1:19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47778578+60799563+62513922+51927478</f>
        <v>223019541</v>
      </c>
      <c r="O22" s="63">
        <v>0</v>
      </c>
      <c r="P22" s="64">
        <f t="shared" si="3"/>
        <v>-223019541</v>
      </c>
      <c r="Q22" s="121"/>
    </row>
    <row r="23" spans="1:19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4">K23-L23</f>
        <v>0</v>
      </c>
      <c r="N23" s="62">
        <f>N24</f>
        <v>6115375</v>
      </c>
      <c r="O23" s="62">
        <v>0</v>
      </c>
      <c r="P23" s="61">
        <f t="shared" si="3"/>
        <v>-6115375</v>
      </c>
      <c r="Q23" s="121"/>
    </row>
    <row r="24" spans="1:19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4"/>
        <v>0</v>
      </c>
      <c r="N24" s="62">
        <f>N25</f>
        <v>6115375</v>
      </c>
      <c r="O24" s="62">
        <v>0</v>
      </c>
      <c r="P24" s="61">
        <f t="shared" si="3"/>
        <v>-6115375</v>
      </c>
      <c r="Q24" s="121"/>
    </row>
    <row r="25" spans="1:19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83063+202884+1571271+1328227+1249323+14645+1155089+126136+384737</f>
        <v>6115375</v>
      </c>
      <c r="O25" s="63">
        <v>0</v>
      </c>
      <c r="P25" s="64">
        <f t="shared" si="3"/>
        <v>-6115375</v>
      </c>
      <c r="Q25" s="111"/>
    </row>
    <row r="26" spans="1:19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2">
        <v>0</v>
      </c>
      <c r="P26" s="61">
        <f t="shared" si="3"/>
        <v>-697756393</v>
      </c>
      <c r="Q26" s="121"/>
    </row>
    <row r="27" spans="1:19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3">
        <v>0</v>
      </c>
      <c r="P27" s="64">
        <f t="shared" si="3"/>
        <v>-697756393</v>
      </c>
      <c r="Q27" s="111"/>
      <c r="S27" s="158"/>
    </row>
    <row r="28" spans="1:19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14033215536.07</v>
      </c>
      <c r="O28" s="62">
        <v>264445392</v>
      </c>
      <c r="P28" s="61">
        <f>-(N28-O28-M28)</f>
        <v>-12068770144.07</v>
      </c>
      <c r="Q28" s="121"/>
      <c r="S28" s="123"/>
    </row>
    <row r="29" spans="1:19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2">
        <v>0</v>
      </c>
      <c r="P29" s="61">
        <f t="shared" si="3"/>
        <v>0</v>
      </c>
      <c r="Q29" s="111"/>
      <c r="S29" s="130"/>
    </row>
    <row r="30" spans="1:19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3">
        <v>0</v>
      </c>
      <c r="P30" s="64">
        <f t="shared" si="3"/>
        <v>-1700000000</v>
      </c>
      <c r="Q30" s="111"/>
    </row>
    <row r="31" spans="1:19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11166499472.23</v>
      </c>
      <c r="O31" s="62">
        <v>0</v>
      </c>
      <c r="P31" s="61">
        <f t="shared" si="3"/>
        <v>-11166499472.23</v>
      </c>
      <c r="Q31" s="121"/>
      <c r="S31" s="123"/>
    </row>
    <row r="32" spans="1:19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11104959778.34</v>
      </c>
      <c r="O32" s="62">
        <v>0</v>
      </c>
      <c r="P32" s="61">
        <f t="shared" si="3"/>
        <v>-11104959778.34</v>
      </c>
      <c r="Q32" s="121"/>
    </row>
    <row r="33" spans="1:19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2657468.69+25469957.1+1364245.06+3026746.96+107824833.19+9140375.04+361945460.49+12754771.08+8596082.06</f>
        <v>532779939.66999996</v>
      </c>
      <c r="O33" s="62">
        <v>0</v>
      </c>
      <c r="P33" s="61">
        <f t="shared" si="3"/>
        <v>-532779939.66999996</v>
      </c>
      <c r="Q33" s="111"/>
    </row>
    <row r="34" spans="1:19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3026746.96+107824833.19+9140375.04+361945460.49+12754771.08+8596082.06</f>
        <v>503288268.81999999</v>
      </c>
      <c r="O34" s="63">
        <v>0</v>
      </c>
      <c r="P34" s="64">
        <f t="shared" si="3"/>
        <v>-503288268.81999999</v>
      </c>
      <c r="Q34" s="111"/>
      <c r="S34" s="130"/>
    </row>
    <row r="35" spans="1:19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2">
        <v>0</v>
      </c>
      <c r="P35" s="61">
        <f t="shared" si="3"/>
        <v>-10572179838.67</v>
      </c>
      <c r="Q35" s="111"/>
      <c r="S35" s="162"/>
    </row>
    <row r="36" spans="1:19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61539693.890000001</v>
      </c>
      <c r="O36" s="62">
        <v>0</v>
      </c>
      <c r="P36" s="61">
        <f t="shared" si="3"/>
        <v>-61539693.890000001</v>
      </c>
      <c r="Q36" s="121"/>
    </row>
    <row r="37" spans="1:19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12433073.97+11949990.96+9419667.01+15344345.64+12392616.31</f>
        <v>61539693.890000001</v>
      </c>
      <c r="O37" s="63">
        <v>0</v>
      </c>
      <c r="P37" s="64">
        <f t="shared" si="3"/>
        <v>-61539693.890000001</v>
      </c>
      <c r="Q37" s="111"/>
    </row>
    <row r="38" spans="1:19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1166716063.8399999</v>
      </c>
      <c r="O38" s="62">
        <f>O39</f>
        <v>264445392</v>
      </c>
      <c r="P38" s="61">
        <f>-(N38-O38)</f>
        <v>-902270671.83999991</v>
      </c>
      <c r="Q38" s="121"/>
      <c r="S38" s="123"/>
    </row>
    <row r="39" spans="1:19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276357982.83999997</v>
      </c>
      <c r="O39" s="62">
        <f>O40+O41+O42</f>
        <v>264445392</v>
      </c>
      <c r="P39" s="61">
        <f>P40+P41+P42</f>
        <v>-11912590.84</v>
      </c>
      <c r="Q39" s="121"/>
    </row>
    <row r="40" spans="1:19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5850637+351626+5227639+46601</f>
        <v>11476503</v>
      </c>
      <c r="O40" s="63">
        <v>0</v>
      </c>
      <c r="P40" s="64">
        <f t="shared" si="3"/>
        <v>-11476503</v>
      </c>
      <c r="Q40" s="121"/>
    </row>
    <row r="41" spans="1:19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37864.84+10352+387871</f>
        <v>436087.83999999997</v>
      </c>
      <c r="O41" s="63">
        <v>0</v>
      </c>
      <c r="P41" s="64">
        <f t="shared" si="3"/>
        <v>-436087.83999999997</v>
      </c>
      <c r="Q41" s="121"/>
    </row>
    <row r="42" spans="1:19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3">
        <v>264445392</v>
      </c>
      <c r="P42" s="64">
        <f>N42-O42</f>
        <v>0</v>
      </c>
      <c r="Q42" s="121"/>
    </row>
    <row r="43" spans="1:19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5">L44+L45+L46</f>
        <v>-185095000000</v>
      </c>
      <c r="M43" s="60">
        <f>K43+L43</f>
        <v>2725951910906</v>
      </c>
      <c r="N43" s="60">
        <f t="shared" si="5"/>
        <v>472506541175</v>
      </c>
      <c r="O43" s="62">
        <v>0</v>
      </c>
      <c r="P43" s="61">
        <f>M43-N43</f>
        <v>2253445369731</v>
      </c>
      <c r="Q43" s="121"/>
      <c r="S43" s="123"/>
    </row>
    <row r="44" spans="1:19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>K44-L44</f>
        <v>1741000000</v>
      </c>
      <c r="N44" s="63">
        <v>0</v>
      </c>
      <c r="O44" s="63">
        <v>0</v>
      </c>
      <c r="P44" s="64">
        <f t="shared" si="3"/>
        <v>1741000000</v>
      </c>
      <c r="Q44" s="111"/>
      <c r="S44" s="130"/>
    </row>
    <row r="45" spans="1:19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ref="M45" si="6">K45-L45</f>
        <v>608283882399</v>
      </c>
      <c r="N45" s="63">
        <v>472403728118</v>
      </c>
      <c r="O45" s="63">
        <v>0</v>
      </c>
      <c r="P45" s="64">
        <f t="shared" si="3"/>
        <v>135880154281</v>
      </c>
      <c r="Q45" s="111"/>
      <c r="S45" s="130"/>
    </row>
    <row r="46" spans="1:19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75">
        <v>0</v>
      </c>
      <c r="P46" s="101">
        <f t="shared" si="3"/>
        <v>2115824215450</v>
      </c>
      <c r="Q46" s="111"/>
      <c r="S46" s="130"/>
    </row>
    <row r="47" spans="1:19" s="139" customFormat="1" ht="31.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55" t="s">
        <v>50</v>
      </c>
      <c r="J47" s="256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692062952312.21997</v>
      </c>
      <c r="O47" s="136">
        <f>O7+O43</f>
        <v>264445392</v>
      </c>
      <c r="P47" s="137">
        <f>P7+P43</f>
        <v>2224959069224.7798</v>
      </c>
      <c r="Q47" s="138"/>
      <c r="S47" s="140"/>
    </row>
    <row r="48" spans="1:19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50" t="s">
        <v>77</v>
      </c>
      <c r="J48" s="250"/>
      <c r="K48" s="250"/>
      <c r="L48" s="250"/>
      <c r="M48" s="250"/>
      <c r="N48" s="250"/>
      <c r="O48" s="250"/>
      <c r="P48" s="250"/>
      <c r="Q48" s="111"/>
      <c r="S48" s="130"/>
    </row>
    <row r="49" spans="1:17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54" t="s">
        <v>43</v>
      </c>
      <c r="K49" s="254"/>
      <c r="L49" s="110"/>
      <c r="M49" s="253" t="s">
        <v>42</v>
      </c>
      <c r="N49" s="253"/>
      <c r="O49" s="253"/>
      <c r="P49" s="253"/>
      <c r="Q49" s="111"/>
    </row>
    <row r="50" spans="1:17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246" t="s">
        <v>33</v>
      </c>
      <c r="K50" s="246"/>
      <c r="L50" s="141"/>
      <c r="M50" s="247" t="s">
        <v>34</v>
      </c>
      <c r="N50" s="247"/>
      <c r="O50" s="247"/>
      <c r="P50" s="247"/>
      <c r="Q50" s="111"/>
    </row>
    <row r="51" spans="1:17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51" t="s">
        <v>35</v>
      </c>
      <c r="K51" s="251"/>
      <c r="L51" s="142"/>
      <c r="M51" s="252" t="s">
        <v>40</v>
      </c>
      <c r="N51" s="252"/>
      <c r="O51" s="252"/>
      <c r="P51" s="252"/>
      <c r="Q51" s="111"/>
    </row>
    <row r="52" spans="1:17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43"/>
      <c r="P52" s="110"/>
      <c r="Q52" s="111"/>
    </row>
    <row r="53" spans="1:17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53" t="s">
        <v>44</v>
      </c>
      <c r="K53" s="253"/>
      <c r="L53" s="110"/>
      <c r="M53" s="253" t="s">
        <v>45</v>
      </c>
      <c r="N53" s="253"/>
      <c r="O53" s="253"/>
      <c r="P53" s="253"/>
      <c r="Q53" s="111"/>
    </row>
    <row r="54" spans="1:17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246" t="s">
        <v>41</v>
      </c>
      <c r="K54" s="246"/>
      <c r="L54" s="145" t="s">
        <v>36</v>
      </c>
      <c r="M54" s="247" t="s">
        <v>37</v>
      </c>
      <c r="N54" s="247"/>
      <c r="O54" s="247"/>
      <c r="P54" s="247"/>
      <c r="Q54" s="111"/>
    </row>
    <row r="55" spans="1:17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48" t="s">
        <v>38</v>
      </c>
      <c r="K55" s="248"/>
      <c r="L55" s="146"/>
      <c r="M55" s="249" t="s">
        <v>39</v>
      </c>
      <c r="N55" s="249"/>
      <c r="O55" s="249"/>
      <c r="P55" s="249"/>
      <c r="Q55" s="111"/>
    </row>
    <row r="56" spans="1:17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4"/>
      <c r="P56" s="150"/>
      <c r="Q56" s="155"/>
    </row>
  </sheetData>
  <mergeCells count="18">
    <mergeCell ref="J53:K53"/>
    <mergeCell ref="M53:P53"/>
    <mergeCell ref="J54:K54"/>
    <mergeCell ref="M54:P54"/>
    <mergeCell ref="J55:K55"/>
    <mergeCell ref="M55:P55"/>
    <mergeCell ref="J49:K49"/>
    <mergeCell ref="M49:P49"/>
    <mergeCell ref="J50:K50"/>
    <mergeCell ref="M50:P50"/>
    <mergeCell ref="J51:K51"/>
    <mergeCell ref="M51:P51"/>
    <mergeCell ref="I48:P48"/>
    <mergeCell ref="B1:P1"/>
    <mergeCell ref="B2:K2"/>
    <mergeCell ref="B4:H4"/>
    <mergeCell ref="B6:H6"/>
    <mergeCell ref="I47:J47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24</vt:i4>
      </vt:variant>
    </vt:vector>
  </HeadingPairs>
  <TitlesOfParts>
    <vt:vector size="37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DICIEMBRE Resumen</vt:lpstr>
      <vt:lpstr>ABRIL!Área_de_impresión</vt:lpstr>
      <vt:lpstr>AGOSTO!Área_de_impresión</vt:lpstr>
      <vt:lpstr>DICIEMBRE!Área_de_impresión</vt:lpstr>
      <vt:lpstr>'DICIEMBRE Resumen'!Área_de_impresión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DICIEMBRE!Títulos_a_imprimir</vt:lpstr>
      <vt:lpstr>'DICIEMBRE Resumen'!Títulos_a_imprimir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2020-01-30T23:35:21Z</cp:lastPrinted>
  <dcterms:created xsi:type="dcterms:W3CDTF">2019-03-01T16:16:13Z</dcterms:created>
  <dcterms:modified xsi:type="dcterms:W3CDTF">2020-01-30T23:38:33Z</dcterms:modified>
</cp:coreProperties>
</file>