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NOV\"/>
    </mc:Choice>
  </mc:AlternateContent>
  <xr:revisionPtr revIDLastSave="0" documentId="13_ncr:1_{F7EF12B5-EC4A-414B-97C2-B003D02189AA}" xr6:coauthVersionLast="44" xr6:coauthVersionMax="44" xr10:uidLastSave="{00000000-0000-0000-0000-000000000000}"/>
  <bookViews>
    <workbookView xWindow="-120" yWindow="-120" windowWidth="29040" windowHeight="15840" tabRatio="0" xr2:uid="{00000000-000D-0000-FFFF-FFFF00000000}"/>
  </bookViews>
  <sheets>
    <sheet name="Menú" sheetId="8" r:id="rId1"/>
    <sheet name="Participación Apropiación " sheetId="2" r:id="rId2"/>
    <sheet name="Resumen Eje Egreso" sheetId="1" state="hidden" r:id="rId3"/>
    <sheet name="INVERSIÓN" sheetId="4" state="hidden" r:id="rId4"/>
    <sheet name="APR VS RP  Y OBLIGACIÓN Y PAGO" sheetId="3" r:id="rId5"/>
    <sheet name="APR,RP´S,OBL Y PAGO FUNCIONAMIE" sheetId="5" r:id="rId6"/>
    <sheet name="INVERSIÓN APR VS RP Y OBLI" sheetId="7" r:id="rId7"/>
  </sheets>
  <calcPr calcId="191029"/>
  <pivotCaches>
    <pivotCache cacheId="16" r:id="rId8"/>
    <pivotCache cacheId="19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7" l="1"/>
  <c r="F45" i="5"/>
  <c r="C42" i="3"/>
  <c r="F43" i="3"/>
  <c r="F47" i="5"/>
  <c r="E44" i="3"/>
  <c r="F48" i="5"/>
  <c r="C47" i="5"/>
  <c r="F42" i="3"/>
  <c r="C44" i="5"/>
  <c r="D46" i="5"/>
  <c r="E44" i="5"/>
  <c r="F44" i="5"/>
  <c r="C48" i="5"/>
  <c r="E46" i="5"/>
  <c r="E48" i="5"/>
  <c r="E45" i="3"/>
  <c r="D45" i="3"/>
  <c r="C43" i="3"/>
  <c r="C45" i="5"/>
  <c r="D47" i="5"/>
  <c r="F45" i="3"/>
  <c r="D48" i="5"/>
  <c r="D45" i="5"/>
  <c r="C45" i="3"/>
  <c r="D44" i="5"/>
  <c r="C44" i="3"/>
  <c r="F46" i="5"/>
  <c r="E47" i="5"/>
  <c r="C46" i="5"/>
  <c r="F44" i="3"/>
  <c r="E45" i="5"/>
  <c r="E43" i="3"/>
  <c r="D44" i="3" l="1"/>
  <c r="D43" i="3"/>
  <c r="E42" i="3"/>
  <c r="D42" i="3"/>
</calcChain>
</file>

<file path=xl/sharedStrings.xml><?xml version="1.0" encoding="utf-8"?>
<sst xmlns="http://schemas.openxmlformats.org/spreadsheetml/2006/main" count="157" uniqueCount="114">
  <si>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</si>
  <si>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</si>
  <si>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</si>
  <si>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</si>
  <si>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</si>
  <si>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</si>
  <si>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</si>
  <si>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</si>
  <si>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</si>
  <si>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</si>
  <si>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</si>
  <si>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</si>
  <si>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</si>
  <si>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</si>
  <si>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PAGOS
 ACUMULADOS</t>
  </si>
  <si>
    <t>2 COMPROMISOS
 ACUMULADOS</t>
  </si>
  <si>
    <t>1 APROPIACION
 VIGENTE</t>
  </si>
  <si>
    <t>3 OBLIGACIONES
 ACUMULADAS</t>
  </si>
  <si>
    <t xml:space="preserve"> PAGOS
 ACUMULADOS</t>
  </si>
  <si>
    <t xml:space="preserve"> OBLIGACIONES</t>
  </si>
  <si>
    <t xml:space="preserve"> PAGOS</t>
  </si>
  <si>
    <t>Cifras en Millones de pesos</t>
  </si>
  <si>
    <t>APROPIACION</t>
  </si>
  <si>
    <t xml:space="preserve"> APROPIACION
 VIGENTE</t>
  </si>
  <si>
    <t>A-01</t>
  </si>
  <si>
    <t>A-02</t>
  </si>
  <si>
    <t>A-03</t>
  </si>
  <si>
    <t>A-08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</si>
  <si>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</si>
  <si>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</si>
  <si>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</si>
  <si>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</si>
  <si>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</si>
  <si>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</si>
  <si>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</si>
  <si>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</si>
  <si>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C-2401-0600-12</t>
  </si>
  <si>
    <t>C-2401-0600-33</t>
  </si>
  <si>
    <t>MEJORAMIENTO REHABILITACIÓN Y MANTENIMIENTO DEL CORREDOR HONDA - PUERTO SALGAR - GIRARDOT,   CUNDINAMARCA</t>
  </si>
  <si>
    <t>C-2401-0600-34</t>
  </si>
  <si>
    <t>REHABILITACIÓN MEJORAMIENTO, OPERACIÓN Y MANTENIMIENTO DEL CORREDOR PERIMETRAL DE CUNDINAMARCA, CENTRO ORIENTE  CUNDINAMARCA</t>
  </si>
  <si>
    <t>C-2401-0600-35</t>
  </si>
  <si>
    <t>MEJORAMIENTO MANTENIMIENTO DE LA CONCESIÓN CARTAGENA BARRANQUILLA  ATLÁNTICO, BOLÍVAR</t>
  </si>
  <si>
    <t>C-2401-0600-36</t>
  </si>
  <si>
    <t>MEJORAMIENTO , REHABILITACIÓN, MANTENIMIENTO Y OPERACIÓN DEL CORREDOR TRANSVERSAL DEL SISGA,EN LOS DEPARTAMENTOS DE   CUNDINAMARCA, BOYACÁ, CASANARE</t>
  </si>
  <si>
    <t>C-2401-0600-37</t>
  </si>
  <si>
    <t>MEJORAMIENTO REHABILITACIÒN, CONSTRUCCIÒN, MANTENIMIENTO Y OPERACIÒN DEL CORREDOR SANTANA - MOCOA - NEIVA, DEPARTAMENTOS DE   HUILA, PUTUMAYO, CAUCA</t>
  </si>
  <si>
    <t>C-2401-0600-38</t>
  </si>
  <si>
    <t>MEJORAMIENTO APOYO ESTATAL PROYECTO DE CONCESIÒN RUTA DEL SOL SECTOR III,   CESAR, BOLÍVAR, MAGDALENA - [PREVIO CONCEPTO DNP]</t>
  </si>
  <si>
    <t>C-2401-0600-39</t>
  </si>
  <si>
    <t>REHABILITACIÓN MEJORAMIENTO, CONSTRUCCIÒN, MANTENIMIENTO Y OPERACIÒN DEL CORREDOR CARTAGENA - BARRANQUILLA Y CIRCUNVALAR DE LA PROSPERIDAD, DEPARTAMENTOS DE   ATLÁNTICO, BOLÍVAR</t>
  </si>
  <si>
    <t>C-2401-0600-40</t>
  </si>
  <si>
    <t>MEJORAMIENTO CONSTRUCCIÒN, REHABILITACIÒN Y MANTENIMIENTO DEL CORREDOR VILLAVICENCIO - YOPAL DEPARTAMENTOS DEL  META, CASANARE</t>
  </si>
  <si>
    <t>C-2401-0600-41</t>
  </si>
  <si>
    <t>REHABILITACIÓN CONSTRUCCIÒN, MEJORAMIENTO, OPERACIÒN Y MANTENIMIENTO DE LA CONCESIÒN AUTOPISTA AL RIO MAGDALENA 2, DEPARTAMENTOS DE   ANTIOQUIA, SANTANDER</t>
  </si>
  <si>
    <t>C-2401-0600-42</t>
  </si>
  <si>
    <t>CONSTRUCCIÓN OPERACIÒN Y MANTENIMIENTO DE LA VÌA MULALO - LOBOGUERRERO, DEPARTAMENTO DEL  VALLE DEL CAUCA</t>
  </si>
  <si>
    <t>C-2401-0600-43</t>
  </si>
  <si>
    <t>MEJORAMIENTO CONSTRUCCIÒN, REHABILITACIÒN, OPERACIÒN Y MANTENIMIENTO DE LA CONCESIÒN AUTOPISTA AL MAR 1, DEPARTAMENTO DE   ANTIOQUIA</t>
  </si>
  <si>
    <t>C-2401-0600-44</t>
  </si>
  <si>
    <t>MEJORAMIENTO REHABILITACIÓN, CONSTRUCCIÓN, MANTENIMIENTO, Y OPERACIÓN DEL CORREDOR RUMICHACA - PASTO EN EL DEPARTAMENTO DE   NARIÑO</t>
  </si>
  <si>
    <t>C-2401-0600-45</t>
  </si>
  <si>
    <t>MEJORAMIENTO CONSTRUCCIÓN, MANTENIMIENTO Y OPERACIÓN DEL CORREDOR CONEXIÓN NORTE, AUTOPISTAS PARA LA PROSPERIDAD  ANTIOQUIA</t>
  </si>
  <si>
    <t>C-2401-0600-46</t>
  </si>
  <si>
    <t>MEJORAMIENTO CONSTRUCCION REHABILITACIÓN,  MANTENIMIENTO Y OPERACIÓN DEL CORREDOR BUCARAMANGA BARRANCABERMEJA YONDO  DEPARTAMENTOS DE   SANTANDER, ANTIOQUIA</t>
  </si>
  <si>
    <t>C-2401-0600-47</t>
  </si>
  <si>
    <t>MEJORAMIENTO REHABILITACION, CONSTRUCCION , MANTENIMIENTO  Y OPERACION CORREDOR POPAYAN - SANTANDER DE QUILICHAO EN EL DEPARTAMENTO DEL   CAUCA</t>
  </si>
  <si>
    <t>C-2401-0600-48</t>
  </si>
  <si>
    <t>MEJORAMIENTO REHABILITACIÓN, CONSTRUCCIÓN, MANTENIMIENTO Y OPERACION DEL CORREDOR BUCARAMANGA PAMPLONA   NORTE DE SANTANDER, SANTANDER</t>
  </si>
  <si>
    <t>C-2401-0600-49</t>
  </si>
  <si>
    <t>MEJORAMIENTO CONSTRUCCIÓN, OPERACIÓN, MANTENIMIENTO DE LA AUTOPISTA CONEXIÓN PACIFICO 3  ANTIOQUIA, CALDAS, RISARALDA</t>
  </si>
  <si>
    <t>C-2401-0600-50</t>
  </si>
  <si>
    <t>MEJORAMIENTO CONSTRUCCIÓN, OPERACIÓN Y MANTENIMIENTO  DE LA CONCESIÓN AUTOPISTA CONEXIÓN PACIFICO 2   ANTIOQUIA</t>
  </si>
  <si>
    <t>C-2401-0600-51</t>
  </si>
  <si>
    <t>CONSTRUCCIÓN OPERACIÓN Y MANTENIMIENTO DE LA CONCESIÓN AUTOPISTA CONEXIÓN PACIFICO 1 - AUTOPISTAS PARA LA PROSPERIDAD    ANTIOQUIA</t>
  </si>
  <si>
    <t>C-2401-0600-52</t>
  </si>
  <si>
    <t>MEJORAMIENTO DEL CORREDOR PUERTA DE HIERRO - PALMAR DE VARELA Y CARRETO - CRUZ DEL VISO EN EL DEPARTAMENTOS DE  ATLÁNTICO, BOLÍVAR, SUCRE</t>
  </si>
  <si>
    <t>C-2401-0600-53</t>
  </si>
  <si>
    <t>MEJORAMIENTO CONSTRUCCIÓN, REHABILITACIÓN, OPERACIÓN Y MANTENIMIENTO DE LA CONCESIÓN AUTOPISTA AL MAR 2  ANTIOQUIA</t>
  </si>
  <si>
    <t>C-2401-0600-54</t>
  </si>
  <si>
    <t>MEJORAMIENTO DE LA CONCESIÓN ARMENIA PEREIRA MANIZALES  RISARALDA, CALDAS, QUINDIO, VALLE DEL CAUCA</t>
  </si>
  <si>
    <t>C-2401-0600-55</t>
  </si>
  <si>
    <t>APOYO A LA OPERACIÓN DE LAS VÍAS CONCESIONADAS A TRÁVES DE IPS  NACIONAL</t>
  </si>
  <si>
    <t>C-2401-0600-56</t>
  </si>
  <si>
    <t>APOYO A LA OPERACIÒN DE LAS VÌAS PRIMARIAS CONCESIONADAS  NACIONAL</t>
  </si>
  <si>
    <t>C-2403-0600-3</t>
  </si>
  <si>
    <t>APOYO A LA OPERACIÓN DE LOS AEROPUERTOS CONCESIONADOS  NACIONAL</t>
  </si>
  <si>
    <t>C-2404-0600-2</t>
  </si>
  <si>
    <t>REHABILITACIÓN CONSTRUCCIÓN Y MANTENIMIENTO DE LA RED FÉRREA A NIVEL NACIONAL  NACIONAL</t>
  </si>
  <si>
    <t>C-2404-0600-3</t>
  </si>
  <si>
    <t>APOYO A LA OPERACIÓN DE LAS VÍAS FÉRREAS CONCESIONADAS  NACIONAL</t>
  </si>
  <si>
    <t>C-2405-0600-2</t>
  </si>
  <si>
    <t>APOYO ESTATAL A LOS PUERTOS A NIVEL NACIONAL   NACIONAL</t>
  </si>
  <si>
    <t>C-2405-0600-3</t>
  </si>
  <si>
    <t>APOYO A LA OPERACIÒN DE LOS PUERTOS CONCESIONADOS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</si>
  <si>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</si>
  <si>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</si>
  <si>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</si>
  <si>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</si>
  <si>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</si>
  <si>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</si>
  <si>
    <t>(Todas)</t>
  </si>
  <si>
    <t>COMPROMISOS</t>
  </si>
  <si>
    <t>C-2499-0600-10</t>
  </si>
  <si>
    <t>IMPLEMENTACION DEL SISTEMA DE GESTION DOCUMENTAL DE LA AGENCIA NACIONAL DE INFRAESTRUCTURA NACIONAL</t>
  </si>
  <si>
    <t>Porcentaje Participación de la Apropiación  por Concepto de Gasto</t>
  </si>
  <si>
    <t xml:space="preserve">Comparativo Ejecución  Presupuestal del  Presupuesto de Funcionamiento </t>
  </si>
  <si>
    <t xml:space="preserve">Detalle Ejecución Presupuestal por Proyecto de Inversión </t>
  </si>
  <si>
    <t>MEJORAMIENTO APOYO ESTATAL PROYECTO DE CONCESIÓN RUTA DEL SOL  SECTOR 2 NACIONAL - [PREVIO CONCEPTO DNP]</t>
  </si>
  <si>
    <t>C-2401-0600-58</t>
  </si>
  <si>
    <t>APOYO OBRAS COMPLEMENTARIAS CONTRATOS DE CONCESIÓN NACIONAL</t>
  </si>
  <si>
    <t>cifras en millones de pesos</t>
  </si>
  <si>
    <t xml:space="preserve">MEDIANTE  DECRETO 1155 DEL 27 DE JUNIO DE 2019  "POR EL CUAL SE EFECTUA UN AJUSTE EN EL  PRESUPUESTO GENERAL DE LA NACIÓN PARA LA VIGENCIA FISCAL 2019 Y SE EFECTUA LA CORRESPONDIENTE LIQUIDACIÒN," A LA AGENCIA NACIONAL DE INFRAESTRUCTURA SE LE CONTRACREDITO (REDUJÒ) EN EL PRESUPUESTO DE GASTOS DE INVERSIÓN, EN EL PROYECTO   12 "MEJORAMIENTO APOYO ESTATAL PROYECTO DE CONCESIÓN RUTA DEL SOL  SECTOR 2 NACIONAL - [PREVIO CONCEPTO DNP]", DEL SUBPROGRAMA 0600 "INTERSUBSECTORIAL TRANSPORTE", DEL PROGRAMA  2401 "INFRAESTRUCTURA   RED VIAL PRIMARIA", LA SUMA DE $ 185.095.000.000, CON APORTES NACIÒN, RECURSOS ESTOS  QUE FUERON ACREDITADOS AL MINISTERIO DE TRANSPORTE Y AL INVIAS.  </t>
  </si>
  <si>
    <t>Ejecución  Presupuestal Acumulada al 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</si>
</sst>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#\ ???/???"/>
    <numFmt numFmtId="166" formatCode="_-* #,##0.0_-;\-* #,##0.0_-;_-* &quot;-&quot;_-;_-@_-"/>
    <numFmt numFmtId="167" formatCode="0.0%"/>
    <numFmt numFmtId="169" formatCode="_-* #,##0.00_-;\-* #,##0.0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i/>
      <sz val="28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0.39994506668294322"/>
      </left>
      <right/>
      <top style="thick">
        <color theme="4" tint="0.39994506668294322"/>
      </top>
      <bottom/>
      <diagonal/>
    </border>
    <border>
      <left/>
      <right/>
      <top style="thick">
        <color theme="4" tint="0.39994506668294322"/>
      </top>
      <bottom/>
      <diagonal/>
    </border>
    <border>
      <left/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/>
      <top/>
      <bottom/>
      <diagonal/>
    </border>
    <border>
      <left/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/>
      <top/>
      <bottom style="thick">
        <color theme="4" tint="0.39994506668294322"/>
      </bottom>
      <diagonal/>
    </border>
    <border>
      <left/>
      <right/>
      <top/>
      <bottom style="thick">
        <color theme="4" tint="0.39994506668294322"/>
      </bottom>
      <diagonal/>
    </border>
    <border>
      <left/>
      <right style="thick">
        <color theme="4" tint="0.39994506668294322"/>
      </right>
      <top/>
      <bottom style="thick">
        <color theme="4" tint="0.39994506668294322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ck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10" applyNumberFormat="0" applyFill="0" applyAlignment="0" applyProtection="0"/>
  </cellStyleXfs>
  <cellXfs count="63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pivotButton="1"/>
    <xf numFmtId="41" fontId="0" fillId="0" borderId="0" xfId="0" applyNumberFormat="1"/>
    <xf numFmtId="41" fontId="0" fillId="0" borderId="1" xfId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pivotButton="1" applyAlignment="1">
      <alignment horizontal="center"/>
    </xf>
    <xf numFmtId="0" fontId="0" fillId="2" borderId="0" xfId="0" applyFill="1"/>
    <xf numFmtId="0" fontId="7" fillId="2" borderId="0" xfId="0" applyFont="1" applyFill="1" applyBorder="1"/>
    <xf numFmtId="0" fontId="0" fillId="0" borderId="0" xfId="0" applyAlignment="1">
      <alignment horizontal="left" wrapText="1"/>
    </xf>
    <xf numFmtId="0" fontId="9" fillId="0" borderId="0" xfId="0" applyFont="1"/>
    <xf numFmtId="0" fontId="10" fillId="0" borderId="0" xfId="14" applyFont="1"/>
    <xf numFmtId="0" fontId="11" fillId="0" borderId="0" xfId="0" applyFont="1"/>
    <xf numFmtId="0" fontId="0" fillId="0" borderId="0" xfId="0" applyFill="1"/>
    <xf numFmtId="0" fontId="7" fillId="0" borderId="0" xfId="0" applyFont="1" applyFill="1" applyBorder="1"/>
    <xf numFmtId="0" fontId="7" fillId="0" borderId="0" xfId="0" applyFont="1" applyFill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3" fillId="0" borderId="0" xfId="0" applyFont="1" applyFill="1"/>
    <xf numFmtId="0" fontId="13" fillId="0" borderId="0" xfId="0" applyFont="1" applyFill="1" applyBorder="1"/>
    <xf numFmtId="0" fontId="0" fillId="2" borderId="0" xfId="0" applyFont="1" applyFill="1"/>
    <xf numFmtId="0" fontId="7" fillId="2" borderId="0" xfId="0" applyFont="1" applyFill="1"/>
    <xf numFmtId="9" fontId="7" fillId="0" borderId="0" xfId="13" applyFont="1" applyFill="1"/>
    <xf numFmtId="0" fontId="16" fillId="0" borderId="11" xfId="0" applyFont="1" applyBorder="1" applyAlignment="1">
      <alignment horizontal="justify" wrapText="1"/>
    </xf>
    <xf numFmtId="0" fontId="16" fillId="3" borderId="11" xfId="0" applyFont="1" applyFill="1" applyBorder="1" applyAlignment="1">
      <alignment horizontal="justify" wrapText="1"/>
    </xf>
    <xf numFmtId="0" fontId="16" fillId="3" borderId="13" xfId="0" applyFont="1" applyFill="1" applyBorder="1" applyAlignment="1">
      <alignment horizontal="justify" wrapText="1"/>
    </xf>
    <xf numFmtId="169" fontId="17" fillId="3" borderId="12" xfId="1" applyNumberFormat="1" applyFont="1" applyFill="1" applyBorder="1"/>
    <xf numFmtId="0" fontId="15" fillId="0" borderId="10" xfId="15" applyFont="1" applyAlignment="1">
      <alignment horizontal="justify" wrapText="1"/>
    </xf>
    <xf numFmtId="169" fontId="0" fillId="0" borderId="0" xfId="0" applyNumberFormat="1"/>
    <xf numFmtId="169" fontId="0" fillId="0" borderId="0" xfId="0" applyNumberFormat="1" applyAlignment="1">
      <alignment wrapText="1"/>
    </xf>
    <xf numFmtId="169" fontId="0" fillId="0" borderId="1" xfId="1" applyNumberFormat="1" applyFont="1" applyBorder="1"/>
    <xf numFmtId="0" fontId="18" fillId="0" borderId="0" xfId="0" applyFont="1" applyFill="1"/>
    <xf numFmtId="0" fontId="0" fillId="0" borderId="0" xfId="0" applyFont="1" applyFill="1"/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9" fontId="15" fillId="0" borderId="10" xfId="1" applyNumberFormat="1" applyFont="1" applyBorder="1"/>
    <xf numFmtId="169" fontId="17" fillId="0" borderId="12" xfId="1" applyNumberFormat="1" applyFont="1" applyBorder="1"/>
    <xf numFmtId="169" fontId="16" fillId="3" borderId="12" xfId="1" applyNumberFormat="1" applyFont="1" applyFill="1" applyBorder="1"/>
    <xf numFmtId="169" fontId="0" fillId="0" borderId="0" xfId="1" applyNumberFormat="1" applyFont="1"/>
    <xf numFmtId="0" fontId="6" fillId="2" borderId="0" xfId="0" applyFont="1" applyFill="1" applyBorder="1"/>
    <xf numFmtId="0" fontId="7" fillId="2" borderId="0" xfId="0" applyFont="1" applyFill="1" applyBorder="1" applyAlignment="1">
      <alignment horizontal="left"/>
    </xf>
    <xf numFmtId="41" fontId="7" fillId="2" borderId="0" xfId="0" applyNumberFormat="1" applyFont="1" applyFill="1" applyBorder="1"/>
    <xf numFmtId="9" fontId="7" fillId="2" borderId="0" xfId="13" applyFont="1" applyFill="1" applyBorder="1"/>
    <xf numFmtId="167" fontId="7" fillId="2" borderId="0" xfId="13" applyNumberFormat="1" applyFont="1" applyFill="1" applyBorder="1"/>
    <xf numFmtId="0" fontId="6" fillId="2" borderId="0" xfId="0" applyFont="1" applyFill="1" applyBorder="1" applyAlignment="1">
      <alignment horizontal="left"/>
    </xf>
    <xf numFmtId="41" fontId="6" fillId="2" borderId="0" xfId="0" applyNumberFormat="1" applyFont="1" applyFill="1" applyBorder="1"/>
    <xf numFmtId="9" fontId="6" fillId="2" borderId="0" xfId="13" applyFont="1" applyFill="1" applyBorder="1"/>
    <xf numFmtId="167" fontId="6" fillId="2" borderId="0" xfId="13" applyNumberFormat="1" applyFont="1" applyFill="1" applyBorder="1"/>
  </cellXfs>
  <cellStyles count="16">
    <cellStyle name="Hipervínculo" xfId="14" builtinId="8"/>
    <cellStyle name="Millares [0]" xfId="1" builtinId="6"/>
    <cellStyle name="Millares 13" xfId="3" xr:uid="{00000000-0005-0000-0000-000001000000}"/>
    <cellStyle name="Millares 14" xfId="5" xr:uid="{00000000-0005-0000-0000-000002000000}"/>
    <cellStyle name="Millares 18" xfId="8" xr:uid="{E834C297-3FCF-493F-8231-D2F710130BE4}"/>
    <cellStyle name="Normal" xfId="0" builtinId="0"/>
    <cellStyle name="Normal 13" xfId="2" xr:uid="{00000000-0005-0000-0000-000004000000}"/>
    <cellStyle name="Normal 14" xfId="4" xr:uid="{00000000-0005-0000-0000-000005000000}"/>
    <cellStyle name="Normal 14 5" xfId="6" xr:uid="{B0044FC8-388A-4ECC-98FA-7C2E309CF394}"/>
    <cellStyle name="Normal 14 6" xfId="9" xr:uid="{B4BCDC7B-84DA-4E3B-8FBE-56949349B94D}"/>
    <cellStyle name="Normal 14 8" xfId="11" xr:uid="{64EE64DF-30A3-4363-9E1B-710C27BEABB9}"/>
    <cellStyle name="Normal 18" xfId="7" xr:uid="{A858F760-6D57-4033-9F79-101CFB0879FA}"/>
    <cellStyle name="Normal 19" xfId="10" xr:uid="{FCDB1EC6-96C1-44A5-BC35-9C851B7A5EED}"/>
    <cellStyle name="Normal 21" xfId="12" xr:uid="{E7F9218F-46FE-45F7-9A6A-5C74FF916D5D}"/>
    <cellStyle name="Porcentaje" xfId="13" builtinId="5"/>
    <cellStyle name="Título 2" xfId="15" builtinId="17"/>
  </cellStyles>
  <dxfs count="55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9" formatCode="_-* #,##0.00_-;\-* #,##0.0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9" formatCode="_-* #,##0.00_-;\-* #,##0.0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9" formatCode="_-* #,##0.00_-;\-* #,##0.00_-;_-* &quot;-&quot;_-;_-@_-"/>
    </dxf>
    <dxf>
      <numFmt numFmtId="169" formatCode="_-* #,##0.00_-;\-* #,##0.00_-;_-* &quot;-&quot;_-;_-@_-"/>
    </dxf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9" formatCode="_-* #,##0.00_-;\-* #,##0.00_-;_-* &quot;-&quot;_-;_-@_-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9" formatCode="_-* #,##0.00_-;\-* #,##0.00_-;_-* &quot;-&quot;_-;_-@_-"/>
    </dxf>
    <dxf>
      <numFmt numFmtId="33" formatCode="_-* #,##0_-;\-* #,##0_-;_-* &quot;-&quot;_-;_-@_-"/>
    </dxf>
    <dxf>
      <numFmt numFmtId="0" formatCode="General"/>
    </dxf>
    <dxf>
      <numFmt numFmtId="13" formatCode="0%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69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Nov  2019.xlsx]Participación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'!$C$6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Apropiación 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'!$C$7:$C$10</c:f>
              <c:numCache>
                <c:formatCode>_-* #,##0.00_-;\-* #,##0.00_-;_-* "-"_-;_-@_-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2233693.0285069998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27931694958984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Nov  2019.xlsx]APR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-6.8965498516019956E-3"/>
              <c:y val="-0.1081081300191792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4.5976999010679965E-3"/>
              <c:y val="-0.1158301393062636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6.8965498516019106E-3"/>
              <c:y val="-0.1467181764546005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-6.8965498516019956E-3"/>
              <c:y val="-0.12612615168904259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-2.2988499505339982E-3"/>
              <c:y val="-0.1055341269234846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"/>
              <c:y val="-8.494210215792664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52022794872039"/>
          <c:y val="9.7930819715654704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PAGO'!$C$6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_-* #,##0.00_-;\-* #,##0.00_-;_-* "-"_-;_-@_-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2233693.0285069998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D8-471D-A1AF-F4C8AE927CCE}"/>
            </c:ext>
          </c:extLst>
        </c:ser>
        <c:ser>
          <c:idx val="1"/>
          <c:order val="1"/>
          <c:tx>
            <c:strRef>
              <c:f>'APR VS RP  Y OBLIGACIÓN Y PAGO'!$D$6</c:f>
              <c:strCache>
                <c:ptCount val="1"/>
                <c:pt idx="0">
                  <c:v>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_-* #,##0.00_-;\-* #,##0.00_-;_-* "-"_-;_-@_-</c:formatCode>
                <c:ptCount val="3"/>
                <c:pt idx="0">
                  <c:v>59994.612168750005</c:v>
                </c:pt>
                <c:pt idx="1">
                  <c:v>473833.88903999998</c:v>
                </c:pt>
                <c:pt idx="2">
                  <c:v>2189551.4762142599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D8-471D-A1AF-F4C8AE927CCE}"/>
            </c:ext>
          </c:extLst>
        </c:ser>
        <c:ser>
          <c:idx val="2"/>
          <c:order val="2"/>
          <c:tx>
            <c:strRef>
              <c:f>'APR VS RP  Y OBLIGACIÓN Y PAGO'!$E$6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_-* #,##0.00_-;\-* #,##0.00_-;_-* "-"_-;_-@_-</c:formatCode>
                <c:ptCount val="3"/>
                <c:pt idx="0">
                  <c:v>57506.423101339999</c:v>
                </c:pt>
                <c:pt idx="1">
                  <c:v>473833.88903999998</c:v>
                </c:pt>
                <c:pt idx="2">
                  <c:v>74762.086816430005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D8-471D-A1AF-F4C8AE927CCE}"/>
            </c:ext>
          </c:extLst>
        </c:ser>
        <c:ser>
          <c:idx val="3"/>
          <c:order val="3"/>
          <c:tx>
            <c:strRef>
              <c:f>'APR VS RP  Y OBLIGACIÓN Y PAGO'!$F$6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PAGO'!$F$7:$F$10</c:f>
              <c:numCache>
                <c:formatCode>_-* #,##0.00_-;\-* #,##0.00_-;_-* "-"_-;_-@_-</c:formatCode>
                <c:ptCount val="3"/>
                <c:pt idx="0">
                  <c:v>56750.737390339993</c:v>
                </c:pt>
                <c:pt idx="1">
                  <c:v>473833.88903999998</c:v>
                </c:pt>
                <c:pt idx="2">
                  <c:v>71435.446565430015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D8-471D-A1AF-F4C8AE927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Nov  2019.xlsx]APR,RP´S,OBL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16200000" scaled="1"/>
                <a:tileRect/>
              </a:gra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114300">
                <a:prstClr val="black"/>
              </a:inn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</c:pivotFmts>
    <c:view3D>
      <c:rotX val="15"/>
      <c:rotY val="7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FUNCIONAMIE'!$C$6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noFill/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16200000" scaled="1"/>
                  <a:tileRect/>
                </a:gra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114300">
                  <a:prstClr val="black"/>
                </a:inn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_-* #,##0.00_-;\-* #,##0.00_-;_-* "-"_-;_-@_-</c:formatCode>
                <c:ptCount val="4"/>
                <c:pt idx="0">
                  <c:v>45158</c:v>
                </c:pt>
                <c:pt idx="1">
                  <c:v>17402.665239000002</c:v>
                </c:pt>
                <c:pt idx="2">
                  <c:v>8644</c:v>
                </c:pt>
                <c:pt idx="3">
                  <c:v>3576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FUNCIONAMIE'!$D$6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Lbls>
            <c:delete val="1"/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_-* #,##0.00_-;\-* #,##0.00_-;_-* "-"_-;_-@_-</c:formatCode>
                <c:ptCount val="4"/>
                <c:pt idx="0">
                  <c:v>39496.86514193</c:v>
                </c:pt>
                <c:pt idx="1">
                  <c:v>16914.307193839999</c:v>
                </c:pt>
                <c:pt idx="2">
                  <c:v>3583.4398329800001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FUNCIONAMIE'!$E$6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Lbls>
            <c:delete val="1"/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_-* #,##0.00_-;\-* #,##0.00_-;_-* "-"_-;_-@_-</c:formatCode>
                <c:ptCount val="4"/>
                <c:pt idx="0">
                  <c:v>39469.638320599995</c:v>
                </c:pt>
                <c:pt idx="1">
                  <c:v>15143.389125859998</c:v>
                </c:pt>
                <c:pt idx="2">
                  <c:v>2893.3956548799997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FUNCIONAMIE'!$F$6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Lbls>
            <c:delete val="1"/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FUNCIONAMIE'!$F$7:$F$11</c:f>
              <c:numCache>
                <c:formatCode>_-* #,##0.00_-;\-* #,##0.00_-;_-* "-"_-;_-@_-</c:formatCode>
                <c:ptCount val="4"/>
                <c:pt idx="0">
                  <c:v>38799.519420600001</c:v>
                </c:pt>
                <c:pt idx="1">
                  <c:v>15057.822314859999</c:v>
                </c:pt>
                <c:pt idx="2">
                  <c:v>2893.3956548799997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Nov  2019.xlsx]INVERSIÓN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.12284798067950614"/>
              <c:y val="-2.4179690623185559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1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16963085065E-2"/>
          <c:y val="0.1788783155498416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OBLI'!$B$8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numFmt formatCode="_(* #,##0_);_(* \(#,##0\);_(* &quot;-&quot;_);_(@_)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OBLI'!$B$9</c:f>
              <c:numCache>
                <c:formatCode>_-* #,##0.00_-;\-* #,##0.00_-;_-* "-"_-;_-@_-</c:formatCode>
                <c:ptCount val="1"/>
                <c:pt idx="0">
                  <c:v>2233693028507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OBLI'!$C$8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OBLI'!$C$9</c:f>
              <c:numCache>
                <c:formatCode>_-* #,##0.00_-;\-* #,##0.00_-;_-* "-"_-;_-@_-</c:formatCode>
                <c:ptCount val="1"/>
                <c:pt idx="0">
                  <c:v>2189551476214.2595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OBLI'!$D$8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OBLI'!$D$9</c:f>
              <c:numCache>
                <c:formatCode>_-* #,##0.00_-;\-* #,##0.00_-;_-* "-"_-;_-@_-</c:formatCode>
                <c:ptCount val="1"/>
                <c:pt idx="0">
                  <c:v>74762086816.430008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OBLI'!$E$8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89E9-4F6A-85E3-8CAAE55440D0}"/>
              </c:ext>
            </c:extLst>
          </c:dPt>
          <c:dLbls>
            <c:dLbl>
              <c:idx val="0"/>
              <c:layout>
                <c:manualLayout>
                  <c:x val="0.12284798067950614"/>
                  <c:y val="-2.417969062318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9-4F6A-85E3-8CAAE55440D0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OBLI'!$E$9</c:f>
              <c:numCache>
                <c:formatCode>_-* #,##0.00_-;\-* #,##0.00_-;_-* "-"_-;_-@_-</c:formatCode>
                <c:ptCount val="1"/>
                <c:pt idx="0">
                  <c:v>71435446565.429993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0537024"/>
        <c:axId val="1679617952"/>
        <c:axId val="0"/>
      </c:bar3DChart>
      <c:catAx>
        <c:axId val="19005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9617952"/>
        <c:crosses val="autoZero"/>
        <c:auto val="1"/>
        <c:lblAlgn val="ctr"/>
        <c:lblOffset val="100"/>
        <c:noMultiLvlLbl val="0"/>
      </c:catAx>
      <c:valAx>
        <c:axId val="16796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05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3.xml"/><Relationship Id="rId1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3A09D-57E3-4154-9291-FB9272C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952500</xdr:colOff>
      <xdr:row>0</xdr:row>
      <xdr:rowOff>104775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78C29FE-7091-47C3-8E4D-0DC279D94BE4}"/>
            </a:ext>
          </a:extLst>
        </xdr:cNvPr>
        <xdr:cNvSpPr/>
      </xdr:nvSpPr>
      <xdr:spPr>
        <a:xfrm>
          <a:off x="3028950" y="1047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noviembre de  2019</a:t>
          </a:r>
        </a:p>
      </xdr:txBody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3648075</xdr:colOff>
      <xdr:row>21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15FB77-51DB-4A4B-A729-14D638C2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819149</xdr:colOff>
      <xdr:row>10</xdr:row>
      <xdr:rowOff>152400</xdr:rowOff>
    </xdr:from>
    <xdr:to>
      <xdr:col>0</xdr:col>
      <xdr:colOff>2057399</xdr:colOff>
      <xdr:row>12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42A80-F97D-4BA4-A244-A6E249A510B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19174" y="2390775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28575</xdr:rowOff>
    </xdr:from>
    <xdr:to>
      <xdr:col>7</xdr:col>
      <xdr:colOff>428625</xdr:colOff>
      <xdr:row>35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Noviembre de  2019</a:t>
          </a:r>
        </a:p>
      </xdr:txBody>
    </xdr:sp>
    <xdr:clientData/>
  </xdr:oneCellAnchor>
  <xdr:twoCellAnchor editAs="oneCell">
    <xdr:from>
      <xdr:col>8</xdr:col>
      <xdr:colOff>304800</xdr:colOff>
      <xdr:row>4</xdr:row>
      <xdr:rowOff>85725</xdr:rowOff>
    </xdr:from>
    <xdr:to>
      <xdr:col>10</xdr:col>
      <xdr:colOff>638175</xdr:colOff>
      <xdr:row>13</xdr:row>
      <xdr:rowOff>171450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504E8-0E72-40BD-9AE6-CA869C5C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847725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noviembre de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2019</a:t>
          </a:r>
        </a:p>
      </xdr:txBody>
    </xdr:sp>
    <xdr:clientData/>
  </xdr:oneCellAnchor>
  <xdr:twoCellAnchor>
    <xdr:from>
      <xdr:col>0</xdr:col>
      <xdr:colOff>352421</xdr:colOff>
      <xdr:row>12</xdr:row>
      <xdr:rowOff>57150</xdr:rowOff>
    </xdr:from>
    <xdr:to>
      <xdr:col>12</xdr:col>
      <xdr:colOff>333374</xdr:colOff>
      <xdr:row>38</xdr:row>
      <xdr:rowOff>38099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3A1CAF-0971-4AD9-81F3-E38E869D0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2760</xdr:colOff>
      <xdr:row>12</xdr:row>
      <xdr:rowOff>57149</xdr:rowOff>
    </xdr:from>
    <xdr:ext cx="10614894" cy="35242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5EC8C7A-490C-4F20-825B-486FEBAC5672}"/>
            </a:ext>
          </a:extLst>
        </xdr:cNvPr>
        <xdr:cNvSpPr/>
      </xdr:nvSpPr>
      <xdr:spPr>
        <a:xfrm>
          <a:off x="764760" y="2343149"/>
          <a:ext cx="10614894" cy="3524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18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VS  OBLIGACIONES Y PAGOS DE  FUNCIONAMIENTO, SERVICIO A LA DEUDA E INVERSIÓN</a:t>
          </a:r>
          <a:endParaRPr lang="es-ES" sz="18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742949</xdr:colOff>
      <xdr:row>34</xdr:row>
      <xdr:rowOff>21723</xdr:rowOff>
    </xdr:from>
    <xdr:ext cx="504825" cy="26456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7F1E4BC-8624-4400-A60C-D653337F225F}"/>
            </a:ext>
          </a:extLst>
        </xdr:cNvPr>
        <xdr:cNvSpPr/>
      </xdr:nvSpPr>
      <xdr:spPr>
        <a:xfrm>
          <a:off x="4486274" y="6498723"/>
          <a:ext cx="504825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76%</a:t>
          </a:r>
        </a:p>
      </xdr:txBody>
    </xdr:sp>
    <xdr:clientData/>
  </xdr:oneCellAnchor>
  <xdr:oneCellAnchor>
    <xdr:from>
      <xdr:col>9</xdr:col>
      <xdr:colOff>714374</xdr:colOff>
      <xdr:row>33</xdr:row>
      <xdr:rowOff>180974</xdr:rowOff>
    </xdr:from>
    <xdr:ext cx="552451" cy="26456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8BB415F4-0CD7-463A-B8F5-449F582A67E6}"/>
            </a:ext>
          </a:extLst>
        </xdr:cNvPr>
        <xdr:cNvSpPr/>
      </xdr:nvSpPr>
      <xdr:spPr>
        <a:xfrm>
          <a:off x="9496424" y="6467474"/>
          <a:ext cx="552451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3,2%</a:t>
          </a:r>
        </a:p>
      </xdr:txBody>
    </xdr:sp>
    <xdr:clientData/>
  </xdr:oneCellAnchor>
  <xdr:twoCellAnchor editAs="oneCell">
    <xdr:from>
      <xdr:col>9</xdr:col>
      <xdr:colOff>542925</xdr:colOff>
      <xdr:row>0</xdr:row>
      <xdr:rowOff>76200</xdr:rowOff>
    </xdr:from>
    <xdr:to>
      <xdr:col>12</xdr:col>
      <xdr:colOff>114300</xdr:colOff>
      <xdr:row>9</xdr:row>
      <xdr:rowOff>161925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D0389E-1866-4724-BEF1-22770977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76200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0.29782</cdr:x>
      <cdr:y>0.84277</cdr:y>
    </cdr:from>
    <cdr:to>
      <cdr:x>0.3366</cdr:x>
      <cdr:y>0.89639</cdr:y>
    </cdr:to>
    <cdr:sp macro="" textlink="">
      <cdr:nvSpPr>
        <cdr:cNvPr id="4" name="Rectángulo 3">
          <a:extLst xmlns:a="http://schemas.openxmlformats.org/drawingml/2006/main">
            <a:ext uri="{FF2B5EF4-FFF2-40B4-BE49-F238E27FC236}">
              <a16:creationId xmlns:a16="http://schemas.microsoft.com/office/drawing/2014/main" id="{7639B625-437B-40E8-962C-5E24A3DB1142}"/>
            </a:ext>
          </a:extLst>
        </cdr:cNvPr>
        <cdr:cNvSpPr/>
      </cdr:nvSpPr>
      <cdr:spPr>
        <a:xfrm xmlns:a="http://schemas.openxmlformats.org/drawingml/2006/main">
          <a:off x="3290596" y="4158184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80%</a:t>
          </a:r>
        </a:p>
      </cdr:txBody>
    </cdr:sp>
  </cdr:relSizeAnchor>
  <cdr:relSizeAnchor xmlns:cdr="http://schemas.openxmlformats.org/drawingml/2006/chartDrawing">
    <cdr:from>
      <cdr:x>0.51847</cdr:x>
      <cdr:y>0.70992</cdr:y>
    </cdr:from>
    <cdr:to>
      <cdr:x>0.55786</cdr:x>
      <cdr:y>0.76117</cdr:y>
    </cdr:to>
    <cdr:sp macro="" textlink="">
      <cdr:nvSpPr>
        <cdr:cNvPr id="5" name="Rectángulo 4">
          <a:extLst xmlns:a="http://schemas.openxmlformats.org/drawingml/2006/main">
            <a:ext uri="{FF2B5EF4-FFF2-40B4-BE49-F238E27FC236}">
              <a16:creationId xmlns:a16="http://schemas.microsoft.com/office/drawing/2014/main" id="{DD563A74-A1DC-4276-A0E9-228AE4C60645}"/>
            </a:ext>
          </a:extLst>
        </cdr:cNvPr>
        <cdr:cNvSpPr/>
      </cdr:nvSpPr>
      <cdr:spPr>
        <a:xfrm xmlns:a="http://schemas.openxmlformats.org/drawingml/2006/main">
          <a:off x="5639653" y="3665018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78%</a:t>
          </a:r>
        </a:p>
      </cdr:txBody>
    </cdr:sp>
  </cdr:relSizeAnchor>
  <cdr:relSizeAnchor xmlns:cdr="http://schemas.openxmlformats.org/drawingml/2006/chartDrawing">
    <cdr:from>
      <cdr:x>0.74561</cdr:x>
      <cdr:y>0.19886</cdr:y>
    </cdr:from>
    <cdr:to>
      <cdr:x>0.78501</cdr:x>
      <cdr:y>0.25011</cdr:y>
    </cdr:to>
    <cdr:sp macro="" textlink="">
      <cdr:nvSpPr>
        <cdr:cNvPr id="7" name="Rectángulo 6">
          <a:extLst xmlns:a="http://schemas.openxmlformats.org/drawingml/2006/main">
            <a:ext uri="{FF2B5EF4-FFF2-40B4-BE49-F238E27FC236}">
              <a16:creationId xmlns:a16="http://schemas.microsoft.com/office/drawing/2014/main" id="{6DEA1B4D-1FB2-4691-8BA3-D38357BC087A}"/>
            </a:ext>
          </a:extLst>
        </cdr:cNvPr>
        <cdr:cNvSpPr/>
      </cdr:nvSpPr>
      <cdr:spPr>
        <a:xfrm xmlns:a="http://schemas.openxmlformats.org/drawingml/2006/main">
          <a:off x="8110442" y="1026624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98%</a:t>
          </a:r>
        </a:p>
      </cdr:txBody>
    </cdr:sp>
  </cdr:relSizeAnchor>
  <cdr:relSizeAnchor xmlns:cdr="http://schemas.openxmlformats.org/drawingml/2006/chartDrawing">
    <cdr:from>
      <cdr:x>0.33538</cdr:x>
      <cdr:y>0.85055</cdr:y>
    </cdr:from>
    <cdr:to>
      <cdr:x>0.37976</cdr:x>
      <cdr:y>0.90417</cdr:y>
    </cdr:to>
    <cdr:sp macro="" textlink="">
      <cdr:nvSpPr>
        <cdr:cNvPr id="8" name="Rectángulo 7">
          <a:extLst xmlns:a="http://schemas.openxmlformats.org/drawingml/2006/main">
            <a:ext uri="{FF2B5EF4-FFF2-40B4-BE49-F238E27FC236}">
              <a16:creationId xmlns:a16="http://schemas.microsoft.com/office/drawing/2014/main" id="{CE0BCE54-63C8-4C27-A092-02D368569841}"/>
            </a:ext>
          </a:extLst>
        </cdr:cNvPr>
        <cdr:cNvSpPr/>
      </cdr:nvSpPr>
      <cdr:spPr>
        <a:xfrm xmlns:a="http://schemas.openxmlformats.org/drawingml/2006/main">
          <a:off x="3705615" y="4196570"/>
          <a:ext cx="49035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77%</a:t>
          </a:r>
        </a:p>
      </cdr:txBody>
    </cdr:sp>
  </cdr:relSizeAnchor>
  <cdr:relSizeAnchor xmlns:cdr="http://schemas.openxmlformats.org/drawingml/2006/chartDrawing">
    <cdr:from>
      <cdr:x>0.56339</cdr:x>
      <cdr:y>0.71402</cdr:y>
    </cdr:from>
    <cdr:to>
      <cdr:x>0.60687</cdr:x>
      <cdr:y>0.76526</cdr:y>
    </cdr:to>
    <cdr:sp macro="" textlink="">
      <cdr:nvSpPr>
        <cdr:cNvPr id="9" name="Rectángulo 8">
          <a:extLst xmlns:a="http://schemas.openxmlformats.org/drawingml/2006/main">
            <a:ext uri="{FF2B5EF4-FFF2-40B4-BE49-F238E27FC236}">
              <a16:creationId xmlns:a16="http://schemas.microsoft.com/office/drawing/2014/main" id="{14044E2E-4684-4530-9E81-C3EF763668DB}"/>
            </a:ext>
          </a:extLst>
        </cdr:cNvPr>
        <cdr:cNvSpPr/>
      </cdr:nvSpPr>
      <cdr:spPr>
        <a:xfrm xmlns:a="http://schemas.openxmlformats.org/drawingml/2006/main">
          <a:off x="6128333" y="3686184"/>
          <a:ext cx="472956" cy="2645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78%</a:t>
          </a:r>
        </a:p>
      </cdr:txBody>
    </cdr:sp>
  </cdr:relSizeAnchor>
  <cdr:relSizeAnchor xmlns:cdr="http://schemas.openxmlformats.org/drawingml/2006/chartDrawing">
    <cdr:from>
      <cdr:x>0.78958</cdr:x>
      <cdr:y>0.84092</cdr:y>
    </cdr:from>
    <cdr:to>
      <cdr:x>0.83154</cdr:x>
      <cdr:y>0.89454</cdr:y>
    </cdr:to>
    <cdr:sp macro="" textlink="">
      <cdr:nvSpPr>
        <cdr:cNvPr id="10" name="Rectángulo 9">
          <a:extLst xmlns:a="http://schemas.openxmlformats.org/drawingml/2006/main">
            <a:ext uri="{FF2B5EF4-FFF2-40B4-BE49-F238E27FC236}">
              <a16:creationId xmlns:a16="http://schemas.microsoft.com/office/drawing/2014/main" id="{7D444648-8951-4869-B2EB-63504EA41939}"/>
            </a:ext>
          </a:extLst>
        </cdr:cNvPr>
        <cdr:cNvSpPr/>
      </cdr:nvSpPr>
      <cdr:spPr>
        <a:xfrm xmlns:a="http://schemas.openxmlformats.org/drawingml/2006/main">
          <a:off x="8724022" y="4149056"/>
          <a:ext cx="46371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3,3%</a:t>
          </a:r>
        </a:p>
      </cdr:txBody>
    </cdr:sp>
  </cdr:relSizeAnchor>
  <cdr:relSizeAnchor xmlns:cdr="http://schemas.openxmlformats.org/drawingml/2006/chartDrawing">
    <cdr:from>
      <cdr:x>0.60888</cdr:x>
      <cdr:y>0.71731</cdr:y>
    </cdr:from>
    <cdr:to>
      <cdr:x>0.64828</cdr:x>
      <cdr:y>0.76856</cdr:y>
    </cdr:to>
    <cdr:sp macro="" textlink="">
      <cdr:nvSpPr>
        <cdr:cNvPr id="11" name="Rectángulo 10">
          <a:extLst xmlns:a="http://schemas.openxmlformats.org/drawingml/2006/main">
            <a:ext uri="{FF2B5EF4-FFF2-40B4-BE49-F238E27FC236}">
              <a16:creationId xmlns:a16="http://schemas.microsoft.com/office/drawing/2014/main" id="{33F2FF0E-7BF7-46DF-97FA-574E6657150B}"/>
            </a:ext>
          </a:extLst>
        </cdr:cNvPr>
        <cdr:cNvSpPr/>
      </cdr:nvSpPr>
      <cdr:spPr>
        <a:xfrm xmlns:a="http://schemas.openxmlformats.org/drawingml/2006/main">
          <a:off x="6623150" y="3703144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78%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429155</xdr:colOff>
      <xdr:row>0</xdr:row>
      <xdr:rowOff>1</xdr:rowOff>
    </xdr:from>
    <xdr:to>
      <xdr:col>1</xdr:col>
      <xdr:colOff>1600200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55" y="1"/>
          <a:ext cx="166634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3457575</xdr:colOff>
      <xdr:row>0</xdr:row>
      <xdr:rowOff>142875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776EA7-DE10-493E-8DE6-81C716B68070}"/>
            </a:ext>
          </a:extLst>
        </xdr:cNvPr>
        <xdr:cNvSpPr/>
      </xdr:nvSpPr>
      <xdr:spPr>
        <a:xfrm>
          <a:off x="3952875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noviembre  de 2019</a:t>
          </a:r>
        </a:p>
      </xdr:txBody>
    </xdr:sp>
    <xdr:clientData/>
  </xdr:oneCellAnchor>
  <xdr:twoCellAnchor>
    <xdr:from>
      <xdr:col>1</xdr:col>
      <xdr:colOff>152400</xdr:colOff>
      <xdr:row>11</xdr:row>
      <xdr:rowOff>66673</xdr:rowOff>
    </xdr:from>
    <xdr:to>
      <xdr:col>7</xdr:col>
      <xdr:colOff>600075</xdr:colOff>
      <xdr:row>41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011071-0A12-4079-88E7-153A2F85F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2133654</xdr:colOff>
      <xdr:row>20</xdr:row>
      <xdr:rowOff>76488</xdr:rowOff>
    </xdr:from>
    <xdr:to>
      <xdr:col>1</xdr:col>
      <xdr:colOff>2562169</xdr:colOff>
      <xdr:row>21</xdr:row>
      <xdr:rowOff>150548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CFF7525C-E8D7-493B-93E7-42C9F5417722}"/>
            </a:ext>
          </a:extLst>
        </xdr:cNvPr>
        <xdr:cNvSpPr/>
      </xdr:nvSpPr>
      <xdr:spPr>
        <a:xfrm>
          <a:off x="2628954" y="4267488"/>
          <a:ext cx="428515" cy="26456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s-ES" sz="1100" b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87%</a:t>
          </a:r>
          <a:endParaRPr lang="es-CO">
            <a:effectLst/>
          </a:endParaRPr>
        </a:p>
      </xdr:txBody>
    </xdr:sp>
    <xdr:clientData/>
  </xdr:twoCellAnchor>
  <xdr:twoCellAnchor editAs="oneCell">
    <xdr:from>
      <xdr:col>6</xdr:col>
      <xdr:colOff>171450</xdr:colOff>
      <xdr:row>1</xdr:row>
      <xdr:rowOff>142875</xdr:rowOff>
    </xdr:from>
    <xdr:to>
      <xdr:col>8</xdr:col>
      <xdr:colOff>504825</xdr:colOff>
      <xdr:row>9</xdr:row>
      <xdr:rowOff>228600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964C43-3FD5-4339-BD21-B0C728A2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3333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1152525</xdr:colOff>
      <xdr:row>12</xdr:row>
      <xdr:rowOff>57148</xdr:rowOff>
    </xdr:from>
    <xdr:to>
      <xdr:col>6</xdr:col>
      <xdr:colOff>647200</xdr:colOff>
      <xdr:row>13</xdr:row>
      <xdr:rowOff>92220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C72D99A-43C9-46B2-A91C-B15A54F44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7825" y="2724148"/>
          <a:ext cx="7419475" cy="225572"/>
        </a:xfrm>
        <a:prstGeom prst="rect">
          <a:avLst/>
        </a:prstGeom>
      </xdr:spPr>
    </xdr:pic>
    <xdr:clientData/>
  </xdr:twoCellAnchor>
  <xdr:twoCellAnchor>
    <xdr:from>
      <xdr:col>1</xdr:col>
      <xdr:colOff>2447979</xdr:colOff>
      <xdr:row>20</xdr:row>
      <xdr:rowOff>86013</xdr:rowOff>
    </xdr:from>
    <xdr:to>
      <xdr:col>1</xdr:col>
      <xdr:colOff>2876494</xdr:colOff>
      <xdr:row>21</xdr:row>
      <xdr:rowOff>160073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EA9E1D09-627A-4533-AD18-468EC51EDB7F}"/>
            </a:ext>
          </a:extLst>
        </xdr:cNvPr>
        <xdr:cNvSpPr/>
      </xdr:nvSpPr>
      <xdr:spPr>
        <a:xfrm>
          <a:off x="2943279" y="4277013"/>
          <a:ext cx="428515" cy="26456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s-ES" sz="1100" b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86%</a:t>
          </a:r>
          <a:endParaRPr lang="es-CO">
            <a:effectLst/>
          </a:endParaRPr>
        </a:p>
      </xdr:txBody>
    </xdr:sp>
    <xdr:clientData/>
  </xdr:twoCellAnchor>
  <xdr:twoCellAnchor>
    <xdr:from>
      <xdr:col>2</xdr:col>
      <xdr:colOff>333375</xdr:colOff>
      <xdr:row>29</xdr:row>
      <xdr:rowOff>104775</xdr:rowOff>
    </xdr:from>
    <xdr:to>
      <xdr:col>2</xdr:col>
      <xdr:colOff>838200</xdr:colOff>
      <xdr:row>31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50B9848-4204-482E-9070-B265BBC05A6B}"/>
            </a:ext>
          </a:extLst>
        </xdr:cNvPr>
        <xdr:cNvSpPr txBox="1"/>
      </xdr:nvSpPr>
      <xdr:spPr>
        <a:xfrm>
          <a:off x="4848225" y="6010275"/>
          <a:ext cx="504825" cy="285750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86%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0.17941</cdr:x>
      <cdr:y>0.30191</cdr:y>
    </cdr:from>
    <cdr:to>
      <cdr:x>0.22632</cdr:x>
      <cdr:y>0.34851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CB6F0FCB-D224-40D0-B5D9-9B0DE646A568}"/>
            </a:ext>
          </a:extLst>
        </cdr:cNvPr>
        <cdr:cNvSpPr/>
      </cdr:nvSpPr>
      <cdr:spPr>
        <a:xfrm xmlns:a="http://schemas.openxmlformats.org/drawingml/2006/main">
          <a:off x="1638807" y="1713913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87%</a:t>
          </a:r>
        </a:p>
      </cdr:txBody>
    </cdr:sp>
  </cdr:relSizeAnchor>
  <cdr:relSizeAnchor xmlns:cdr="http://schemas.openxmlformats.org/drawingml/2006/chartDrawing">
    <cdr:from>
      <cdr:x>0.36528</cdr:x>
      <cdr:y>0.60066</cdr:y>
    </cdr:from>
    <cdr:to>
      <cdr:x>0.44526</cdr:x>
      <cdr:y>0.64262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E886062A-0D55-4868-9200-3B5511AD779C}"/>
            </a:ext>
          </a:extLst>
        </cdr:cNvPr>
        <cdr:cNvSpPr/>
      </cdr:nvSpPr>
      <cdr:spPr>
        <a:xfrm xmlns:a="http://schemas.openxmlformats.org/drawingml/2006/main">
          <a:off x="3336632" y="3409888"/>
          <a:ext cx="730543" cy="2381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97%</a:t>
          </a:r>
        </a:p>
      </cdr:txBody>
    </cdr:sp>
  </cdr:relSizeAnchor>
  <cdr:relSizeAnchor xmlns:cdr="http://schemas.openxmlformats.org/drawingml/2006/chartDrawing">
    <cdr:from>
      <cdr:x>0.57098</cdr:x>
      <cdr:y>0.79404</cdr:y>
    </cdr:from>
    <cdr:to>
      <cdr:x>0.63295</cdr:x>
      <cdr:y>0.84064</cdr:y>
    </cdr:to>
    <cdr:sp macro="" textlink="">
      <cdr:nvSpPr>
        <cdr:cNvPr id="4" name="Rectángulo 3">
          <a:extLst xmlns:a="http://schemas.openxmlformats.org/drawingml/2006/main">
            <a:ext uri="{FF2B5EF4-FFF2-40B4-BE49-F238E27FC236}">
              <a16:creationId xmlns:a16="http://schemas.microsoft.com/office/drawing/2014/main" id="{7DC2329A-447C-47B2-892F-CDA18C3ABA3B}"/>
            </a:ext>
          </a:extLst>
        </cdr:cNvPr>
        <cdr:cNvSpPr/>
      </cdr:nvSpPr>
      <cdr:spPr>
        <a:xfrm xmlns:a="http://schemas.openxmlformats.org/drawingml/2006/main">
          <a:off x="5215640" y="4507687"/>
          <a:ext cx="56603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41%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0.78209</cdr:x>
      <cdr:y>0.82366</cdr:y>
    </cdr:from>
    <cdr:to>
      <cdr:x>0.8073</cdr:x>
      <cdr:y>0.87205</cdr:y>
    </cdr:to>
    <cdr:sp macro="" textlink="">
      <cdr:nvSpPr>
        <cdr:cNvPr id="5" name="Rectángulo 4">
          <a:extLst xmlns:a="http://schemas.openxmlformats.org/drawingml/2006/main">
            <a:ext uri="{FF2B5EF4-FFF2-40B4-BE49-F238E27FC236}">
              <a16:creationId xmlns:a16="http://schemas.microsoft.com/office/drawing/2014/main" id="{160843D7-D0BE-4586-BF20-0BD655D70589}"/>
            </a:ext>
          </a:extLst>
        </cdr:cNvPr>
        <cdr:cNvSpPr/>
      </cdr:nvSpPr>
      <cdr:spPr>
        <a:xfrm xmlns:a="http://schemas.openxmlformats.org/drawingml/2006/main">
          <a:off x="7188665" y="4503245"/>
          <a:ext cx="231721" cy="2645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0%</a:t>
          </a:r>
        </a:p>
      </cdr:txBody>
    </cdr:sp>
  </cdr:relSizeAnchor>
  <cdr:relSizeAnchor xmlns:cdr="http://schemas.openxmlformats.org/drawingml/2006/chartDrawing">
    <cdr:from>
      <cdr:x>0.60654</cdr:x>
      <cdr:y>0.80275</cdr:y>
    </cdr:from>
    <cdr:to>
      <cdr:x>0.6684</cdr:x>
      <cdr:y>0.84935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64A6AC5C-DA86-4BBE-A325-D8871C55C383}"/>
            </a:ext>
          </a:extLst>
        </cdr:cNvPr>
        <cdr:cNvSpPr/>
      </cdr:nvSpPr>
      <cdr:spPr>
        <a:xfrm xmlns:a="http://schemas.openxmlformats.org/drawingml/2006/main">
          <a:off x="5540416" y="4557133"/>
          <a:ext cx="565109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33%</a:t>
          </a:r>
        </a:p>
      </cdr:txBody>
    </cdr:sp>
  </cdr:relSizeAnchor>
  <cdr:relSizeAnchor xmlns:cdr="http://schemas.openxmlformats.org/drawingml/2006/chartDrawing">
    <cdr:from>
      <cdr:x>0.42163</cdr:x>
      <cdr:y>0.60652</cdr:y>
    </cdr:from>
    <cdr:to>
      <cdr:x>0.46855</cdr:x>
      <cdr:y>0.65312</cdr:y>
    </cdr:to>
    <cdr:sp macro="" textlink="">
      <cdr:nvSpPr>
        <cdr:cNvPr id="7" name="Rectángulo 6">
          <a:extLst xmlns:a="http://schemas.openxmlformats.org/drawingml/2006/main">
            <a:ext uri="{FF2B5EF4-FFF2-40B4-BE49-F238E27FC236}">
              <a16:creationId xmlns:a16="http://schemas.microsoft.com/office/drawing/2014/main" id="{EDC9D0B8-51AB-47A9-9897-34552BE049D3}"/>
            </a:ext>
          </a:extLst>
        </cdr:cNvPr>
        <cdr:cNvSpPr/>
      </cdr:nvSpPr>
      <cdr:spPr>
        <a:xfrm xmlns:a="http://schemas.openxmlformats.org/drawingml/2006/main">
          <a:off x="3851410" y="3443155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87%</a:t>
          </a:r>
        </a:p>
      </cdr:txBody>
    </cdr:sp>
  </cdr:relSizeAnchor>
  <cdr:relSizeAnchor xmlns:cdr="http://schemas.openxmlformats.org/drawingml/2006/chartDrawing">
    <cdr:from>
      <cdr:x>0.64244</cdr:x>
      <cdr:y>0.81147</cdr:y>
    </cdr:from>
    <cdr:to>
      <cdr:x>0.70907</cdr:x>
      <cdr:y>0.85807</cdr:y>
    </cdr:to>
    <cdr:sp macro="" textlink="">
      <cdr:nvSpPr>
        <cdr:cNvPr id="8" name="Rectángulo 7">
          <a:extLst xmlns:a="http://schemas.openxmlformats.org/drawingml/2006/main">
            <a:ext uri="{FF2B5EF4-FFF2-40B4-BE49-F238E27FC236}">
              <a16:creationId xmlns:a16="http://schemas.microsoft.com/office/drawing/2014/main" id="{6FCB5E21-FCB5-41E0-A728-75E53EBE6C81}"/>
            </a:ext>
          </a:extLst>
        </cdr:cNvPr>
        <cdr:cNvSpPr/>
      </cdr:nvSpPr>
      <cdr:spPr>
        <a:xfrm xmlns:a="http://schemas.openxmlformats.org/drawingml/2006/main">
          <a:off x="5868343" y="4606636"/>
          <a:ext cx="60865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33%</a:t>
          </a:r>
        </a:p>
      </cdr:txBody>
    </cdr:sp>
  </cdr:relSizeAnchor>
  <cdr:relSizeAnchor xmlns:cdr="http://schemas.openxmlformats.org/drawingml/2006/chartDrawing">
    <cdr:from>
      <cdr:x>0.81779</cdr:x>
      <cdr:y>0.82889</cdr:y>
    </cdr:from>
    <cdr:to>
      <cdr:x>0.84299</cdr:x>
      <cdr:y>0.87728</cdr:y>
    </cdr:to>
    <cdr:sp macro="" textlink="">
      <cdr:nvSpPr>
        <cdr:cNvPr id="10" name="Rectángulo 9">
          <a:extLst xmlns:a="http://schemas.openxmlformats.org/drawingml/2006/main">
            <a:ext uri="{FF2B5EF4-FFF2-40B4-BE49-F238E27FC236}">
              <a16:creationId xmlns:a16="http://schemas.microsoft.com/office/drawing/2014/main" id="{9DB6144D-8FB5-4C7B-9D0A-8D88BF1103DD}"/>
            </a:ext>
          </a:extLst>
        </cdr:cNvPr>
        <cdr:cNvSpPr/>
      </cdr:nvSpPr>
      <cdr:spPr>
        <a:xfrm xmlns:a="http://schemas.openxmlformats.org/drawingml/2006/main">
          <a:off x="7516829" y="4531820"/>
          <a:ext cx="231629" cy="2645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0%</a:t>
          </a:r>
        </a:p>
      </cdr:txBody>
    </cdr:sp>
  </cdr:relSizeAnchor>
  <cdr:relSizeAnchor xmlns:cdr="http://schemas.openxmlformats.org/drawingml/2006/chartDrawing">
    <cdr:from>
      <cdr:x>0.84788</cdr:x>
      <cdr:y>0.83934</cdr:y>
    </cdr:from>
    <cdr:to>
      <cdr:x>0.87309</cdr:x>
      <cdr:y>0.88773</cdr:y>
    </cdr:to>
    <cdr:sp macro="" textlink="">
      <cdr:nvSpPr>
        <cdr:cNvPr id="11" name="Rectángulo 10">
          <a:extLst xmlns:a="http://schemas.openxmlformats.org/drawingml/2006/main">
            <a:ext uri="{FF2B5EF4-FFF2-40B4-BE49-F238E27FC236}">
              <a16:creationId xmlns:a16="http://schemas.microsoft.com/office/drawing/2014/main" id="{61A9E33F-E2C1-422A-87CD-E187BD2F4C0C}"/>
            </a:ext>
          </a:extLst>
        </cdr:cNvPr>
        <cdr:cNvSpPr/>
      </cdr:nvSpPr>
      <cdr:spPr>
        <a:xfrm xmlns:a="http://schemas.openxmlformats.org/drawingml/2006/main">
          <a:off x="7793427" y="4588958"/>
          <a:ext cx="231721" cy="264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790576</xdr:colOff>
      <xdr:row>15</xdr:row>
      <xdr:rowOff>19052</xdr:rowOff>
    </xdr:from>
    <xdr:to>
      <xdr:col>6</xdr:col>
      <xdr:colOff>123825</xdr:colOff>
      <xdr:row>35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1443160</xdr:colOff>
      <xdr:row>15</xdr:row>
      <xdr:rowOff>0</xdr:rowOff>
    </xdr:from>
    <xdr:ext cx="4721421" cy="59323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DDDF931-90A5-4849-94B6-7C409D2121E6}"/>
            </a:ext>
          </a:extLst>
        </xdr:cNvPr>
        <xdr:cNvSpPr/>
      </xdr:nvSpPr>
      <xdr:spPr>
        <a:xfrm>
          <a:off x="2319460" y="3000375"/>
          <a:ext cx="4721421" cy="5932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6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209550</xdr:colOff>
      <xdr:row>4</xdr:row>
      <xdr:rowOff>152400</xdr:rowOff>
    </xdr:from>
    <xdr:to>
      <xdr:col>7</xdr:col>
      <xdr:colOff>542925</xdr:colOff>
      <xdr:row>14</xdr:row>
      <xdr:rowOff>47625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1E0443-678F-4170-B493-080DD1DB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123825</xdr:rowOff>
    </xdr:from>
    <xdr:to>
      <xdr:col>2</xdr:col>
      <xdr:colOff>929133</xdr:colOff>
      <xdr:row>3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FF14B5-5981-46CE-ACD1-56B27769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382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1314450</xdr:colOff>
      <xdr:row>0</xdr:row>
      <xdr:rowOff>142875</xdr:rowOff>
    </xdr:from>
    <xdr:ext cx="4861209" cy="71853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F036530-7C3A-4B09-BB8D-A47B71360091}"/>
            </a:ext>
          </a:extLst>
        </xdr:cNvPr>
        <xdr:cNvSpPr/>
      </xdr:nvSpPr>
      <xdr:spPr>
        <a:xfrm>
          <a:off x="3829050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30 de Noviembre  de 2019</a:t>
          </a:r>
        </a:p>
      </xdr:txBody>
    </xdr:sp>
    <xdr:clientData/>
  </xdr:oneCellAnchor>
  <xdr:twoCellAnchor editAs="oneCell">
    <xdr:from>
      <xdr:col>1</xdr:col>
      <xdr:colOff>640209</xdr:colOff>
      <xdr:row>16</xdr:row>
      <xdr:rowOff>133351</xdr:rowOff>
    </xdr:from>
    <xdr:to>
      <xdr:col>1</xdr:col>
      <xdr:colOff>1006824</xdr:colOff>
      <xdr:row>19</xdr:row>
      <xdr:rowOff>85725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42381A7-0C0C-4CC8-8572-5A680D76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6998" b="96869" l="10000" r="90000">
                      <a14:foregroundMark x1="26579" y1="92449" x2="26579" y2="92449"/>
                      <a14:foregroundMark x1="26579" y1="97053" x2="26579" y2="97053"/>
                      <a14:foregroundMark x1="36579" y1="88214" x2="36579" y2="88214"/>
                      <a14:foregroundMark x1="89737" y1="56722" x2="89737" y2="56722"/>
                      <a14:foregroundMark x1="72895" y1="6998" x2="72895" y2="699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16509" y="3324226"/>
          <a:ext cx="36661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248247</xdr:colOff>
      <xdr:row>11</xdr:row>
      <xdr:rowOff>53649</xdr:rowOff>
    </xdr:from>
    <xdr:to>
      <xdr:col>2</xdr:col>
      <xdr:colOff>370886</xdr:colOff>
      <xdr:row>13</xdr:row>
      <xdr:rowOff>155902</xdr:rowOff>
    </xdr:to>
    <xdr:sp macro="" textlink="">
      <xdr:nvSpPr>
        <xdr:cNvPr id="3" name="Bocadillo: rectángulo con esquinas redondeadas 2">
          <a:extLst>
            <a:ext uri="{FF2B5EF4-FFF2-40B4-BE49-F238E27FC236}">
              <a16:creationId xmlns:a16="http://schemas.microsoft.com/office/drawing/2014/main" id="{3D1C9A60-2673-448C-9EFA-8AA3A906BB96}"/>
            </a:ext>
          </a:extLst>
        </xdr:cNvPr>
        <xdr:cNvSpPr/>
      </xdr:nvSpPr>
      <xdr:spPr>
        <a:xfrm>
          <a:off x="1124547" y="2292024"/>
          <a:ext cx="1760939" cy="483253"/>
        </a:xfrm>
        <a:prstGeom prst="wedgeRoundRectCallout">
          <a:avLst>
            <a:gd name="adj1" fmla="val -21915"/>
            <a:gd name="adj2" fmla="val 103891"/>
            <a:gd name="adj3" fmla="val 16667"/>
          </a:avLst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none" lIns="91440" tIns="45720" rIns="91440" bIns="45720" rtlCol="0" anchor="ctr">
          <a:spAutoFit/>
        </a:bodyPr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SELECCIONE</a:t>
          </a:r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PROYECTO </a:t>
          </a:r>
        </a:p>
        <a:p>
          <a:pPr algn="ctr"/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SU INTERES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861.628105324075" createdVersion="6" refreshedVersion="6" minRefreshableVersion="3" recordCount="7" xr:uid="{3663E02A-B7EA-4A95-8D5A-936E9E2F42D3}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169">
      <sharedItems containsSemiMixedTypes="0" containsString="0" containsNumber="1" minValue="3576" maxValue="2233693.0285069998"/>
    </cacheField>
    <cacheField name="CERTIFICADOS_x000a_ ACUMULADOS" numFmtId="169">
      <sharedItems containsSemiMixedTypes="0" containsString="0" containsNumber="1" minValue="0" maxValue="2191217.9836320602"/>
    </cacheField>
    <cacheField name="COMPROMISOS_x000a_ ACUMULADOS" numFmtId="169">
      <sharedItems containsSemiMixedTypes="0" containsString="0" containsNumber="1" minValue="0" maxValue="2189551.4762142599"/>
    </cacheField>
    <cacheField name="OBLIGACIONES_x000a_ ACUMULADAS" numFmtId="169">
      <sharedItems containsSemiMixedTypes="0" containsString="0" containsNumber="1" minValue="0" maxValue="473833.88903999998"/>
    </cacheField>
    <cacheField name="PAGOS_x000a_A CUMULADOS" numFmtId="169">
      <sharedItems containsSemiMixedTypes="0" containsString="0" containsNumber="1" minValue="0" maxValue="473833.88903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861.62848738426" createdVersion="6" refreshedVersion="6" minRefreshableVersion="3" recordCount="35" xr:uid="{D232E3F5-B12C-4C67-9338-B72D51D80183}">
  <cacheSource type="worksheet">
    <worksheetSource ref="B1:H36" sheet="INVERSIÓN"/>
  </cacheSource>
  <cacheFields count="7">
    <cacheField name="Codigo " numFmtId="0">
      <sharedItems/>
    </cacheField>
    <cacheField name="DESCRIPCION" numFmtId="0">
      <sharedItems count="35">
        <s v="MEJORAMIENTO APOYO ESTATAL PROYECTO DE CONCESIÓN RUTA DEL SOL  SECTOR 2 NACIONAL - [PREVIO CONCEPTO DNP]"/>
        <s v="MEJORAMIENTO REHABILITACIÓN Y MANTENIMIENTO DEL CORREDOR HONDA - PUERTO SALGAR - GIRARDOT,   CUNDINAMARCA"/>
        <s v="REHABILITACIÓN MEJORAMIENTO, OPERACIÓN Y MANTENIMIENTO DEL CORREDOR PERIMETRAL DE CUNDINAMARCA, CENTRO ORIENTE  CUNDINAMARCA"/>
        <s v="MEJORAMIENTO MANTENIMIENTO DE LA CONCESIÓN CARTAGENA BARRANQUILLA  ATLÁNTICO, BOLÍVAR"/>
        <s v="MEJORAMIENTO , REHABILITACIÓN, MANTENIMIENTO Y OPERACIÓN DEL CORREDOR TRANSVERSAL DEL SISGA,EN LOS DEPARTAMENTOS DE   CUNDINAMARCA, BOYACÁ, CASANARE"/>
        <s v="MEJORAMIENTO REHABILITACIÒN, CONSTRUCCIÒN, MANTENIMIENTO Y OPERACIÒN DEL CORREDOR SANTANA - MOCOA - NEIVA, DEPARTAMENTOS DE   HUILA, PUTUMAYO, CAUCA"/>
        <s v="MEJORAMIENTO APOYO ESTATAL PROYECTO DE CONCESIÒN RUTA DEL SOL SECTOR III,   CESAR, BOLÍVAR, MAGDALENA - [PREVIO CONCEPTO DNP]"/>
        <s v="REHABILITACIÓN MEJORAMIENTO, CONSTRUCCIÒN, MANTENIMIENTO Y OPERACIÒN DEL CORREDOR CARTAGENA - BARRANQUILLA Y CIRCUNVALAR DE LA PROSPERIDAD, DEPARTAMENTOS DE   ATLÁNTICO, BOLÍVAR"/>
        <s v="MEJORAMIENTO CONSTRUCCIÒN, REHABILITACIÒN Y MANTENIMIENTO DEL CORREDOR VILLAVICENCIO - YOPAL DEPARTAMENTOS DEL  META, CASANARE"/>
        <s v="REHABILITACIÓN CONSTRUCCIÒN, MEJORAMIENTO, OPERACIÒN Y MANTENIMIENTO DE LA CONCESIÒN AUTOPISTA AL RIO MAGDALENA 2, DEPARTAMENTOS DE   ANTIOQUIA, SANTANDER"/>
        <s v="CONSTRUCCIÓN OPERACIÒN Y MANTENIMIENTO DE LA VÌA MULALO - LOBOGUERRERO, DEPARTAMENTO DEL  VALLE DEL CAUCA"/>
        <s v="MEJORAMIENTO CONSTRUCCIÒN, REHABILITACIÒN, OPERACIÒN Y MANTENIMIENTO DE LA CONCESIÒN AUTOPISTA AL MAR 1, DEPARTAMENTO DE   ANTIOQUIA"/>
        <s v="MEJORAMIENTO REHABILITACIÓN, CONSTRUCCIÓN, MANTENIMIENTO, Y OPERACIÓN DEL CORREDOR RUMICHACA - PASTO EN EL DEPARTAMENTO DE   NARIÑO"/>
        <s v="MEJORAMIENTO CONSTRUCCIÓN, MANTENIMIENTO Y OPERACIÓN DEL CORREDOR CONEXIÓN NORTE, AUTOPISTAS PARA LA PROSPERIDAD  ANTIOQUIA"/>
        <s v="MEJORAMIENTO CONSTRUCCION REHABILITACIÓN,  MANTENIMIENTO Y OPERACIÓN DEL CORREDOR BUCARAMANGA BARRANCABERMEJA YONDO  DEPARTAMENTOS DE   SANTANDER, ANTIOQUIA"/>
        <s v="MEJORAMIENTO REHABILITACION, CONSTRUCCION , MANTENIMIENTO  Y OPERACION CORREDOR POPAYAN - SANTANDER DE QUILICHAO EN EL DEPARTAMENTO DEL   CAUCA"/>
        <s v="MEJORAMIENTO REHABILITACIÓN, CONSTRUCCIÓN, MANTENIMIENTO Y OPERACION DEL CORREDOR BUCARAMANGA PAMPLONA   NORTE DE SANTANDER, SANTANDER"/>
        <s v="MEJORAMIENTO CONSTRUCCIÓN, OPERACIÓN, MANTENIMIENTO DE LA AUTOPISTA CONEXIÓN PACIFICO 3  ANTIOQUIA, CALDAS, RISARALDA"/>
        <s v="MEJORAMIENTO CONSTRUCCIÓN, OPERACIÓN Y MANTENIMIENTO  DE LA CONCESIÓN AUTOPISTA CONEXIÓN PACIFICO 2   ANTIOQUIA"/>
        <s v="CONSTRUCCIÓN OPERACIÓN Y MANTENIMIENTO DE LA CONCESIÓN AUTOPISTA CONEXIÓN PACIFICO 1 - AUTOPISTAS PARA LA PROSPERIDAD    ANTIOQUIA"/>
        <s v="MEJORAMIENTO DEL CORREDOR PUERTA DE HIERRO - PALMAR DE VARELA Y CARRETO - CRUZ DEL VISO EN EL DEPARTAMENTOS DE  ATLÁNTICO, BOLÍVAR, SUCRE"/>
        <s v="MEJORAMIENTO CONSTRUCCIÓN, REHABILITACIÓN, OPERACIÓN Y MANTENIMIENTO DE LA CONCESIÓN AUTOPISTA AL MAR 2  ANTIOQUIA"/>
        <s v="MEJORAMIENTO DE LA CONCESIÓN ARMENIA PEREIRA MANIZALES  RISARALDA, CALDAS, QUINDIO, VALLE DEL CAUCA"/>
        <s v="APOYO A LA OPERACIÓN DE LAS VÍAS CONCESIONADAS A TRÁVES DE IPS  NACIONAL"/>
        <s v="APOYO A LA OPERACIÒN DE LAS VÌAS PRIMARIAS CONCESIONADAS  NACIONAL"/>
        <s v="APOYO OBRAS COMPLEMENTARIAS CONTRATOS DE CONCESIÓN NACIONAL"/>
        <s v="APOYO A LA OPERACIÓN DE LOS AEROPUERTOS CONCESIONADOS  NACIONAL"/>
        <s v="REHABILITACIÓN CONSTRUCCIÓN Y MANTENIMIENTO DE LA RED FÉRREA A NIVEL NACIONAL  NACIONAL"/>
        <s v="APOYO A LA OPERACIÓN DE LAS VÍAS FÉRREAS CONCESIONADAS  NACIONAL"/>
        <s v="APOYO ESTATAL A LOS PUERTOS A NIVEL NACIONAL   NACIONAL"/>
        <s v="APOYO A LA OPERACIÒN DE LOS PUERTOS CONCESIONADOS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  <s v="IMPLEMENTACION DEL SISTEMA DE GESTION DOCUMENTAL DE LA AGENCIA NACIONAL DE INFRAESTRUCTURA NACIONAL"/>
      </sharedItems>
    </cacheField>
    <cacheField name="APROPIACION_x000a_ VIGENTE" numFmtId="169">
      <sharedItems containsSemiMixedTypes="0" containsString="0" containsNumber="1" containsInteger="1" minValue="200000000" maxValue="317133290022"/>
    </cacheField>
    <cacheField name="CERTIFICADOS_x000a_ ACUMULADOS" numFmtId="169">
      <sharedItems containsSemiMixedTypes="0" containsString="0" containsNumber="1" minValue="0" maxValue="317133290022"/>
    </cacheField>
    <cacheField name="COMPROMISOS_x000a_ ACUMULADOS" numFmtId="169">
      <sharedItems containsSemiMixedTypes="0" containsString="0" containsNumber="1" minValue="0" maxValue="317133290022"/>
    </cacheField>
    <cacheField name="OBLIGACIONES_x000a_ ACUMULADAS" numFmtId="169">
      <sharedItems containsSemiMixedTypes="0" containsString="0" containsNumber="1" minValue="0" maxValue="56598640928.660004"/>
    </cacheField>
    <cacheField name="PAGOS_x000a_ ACUMULADOS" numFmtId="169">
      <sharedItems containsSemiMixedTypes="0" containsString="0" containsNumber="1" minValue="0" maxValue="53691276822.66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A"/>
    <x v="0"/>
    <n v="74780.665238999994"/>
    <n v="66921.8685023"/>
    <n v="59994.612168750005"/>
    <n v="57506.423101339999"/>
    <n v="56750.737390339993"/>
  </r>
  <r>
    <s v="A-01"/>
    <x v="1"/>
    <n v="45158"/>
    <n v="45148.646355199999"/>
    <n v="39496.86514193"/>
    <n v="39469.638320599995"/>
    <n v="38799.519420600001"/>
  </r>
  <r>
    <s v="A-02"/>
    <x v="2"/>
    <n v="17402.665239000002"/>
    <n v="17201.240868010002"/>
    <n v="16914.307193839999"/>
    <n v="15143.389125859998"/>
    <n v="15057.822314859999"/>
  </r>
  <r>
    <s v="A-03"/>
    <x v="3"/>
    <n v="8644"/>
    <n v="4571.9812790900005"/>
    <n v="3583.4398329800001"/>
    <n v="2893.3956548799997"/>
    <n v="2893.3956548799997"/>
  </r>
  <r>
    <s v="A-08"/>
    <x v="4"/>
    <n v="3576"/>
    <n v="0"/>
    <n v="0"/>
    <n v="0"/>
    <n v="0"/>
  </r>
  <r>
    <s v="B"/>
    <x v="5"/>
    <n v="608283.88239899999"/>
    <n v="473833.88903999998"/>
    <n v="473833.88903999998"/>
    <n v="473833.88903999998"/>
    <n v="473833.88903999998"/>
  </r>
  <r>
    <s v="C"/>
    <x v="6"/>
    <n v="2233693.0285069998"/>
    <n v="2191217.9836320602"/>
    <n v="2189551.4762142599"/>
    <n v="74762.086816430005"/>
    <n v="71435.4465654300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s v="C-2401-0600-12"/>
    <x v="0"/>
    <n v="38741000000"/>
    <n v="0"/>
    <n v="0"/>
    <n v="0"/>
    <n v="0"/>
  </r>
  <r>
    <s v="C-2401-0600-33"/>
    <x v="1"/>
    <n v="94074101261"/>
    <n v="94074101261"/>
    <n v="94074101261"/>
    <n v="14318968"/>
    <n v="14318968"/>
  </r>
  <r>
    <s v="C-2401-0600-34"/>
    <x v="2"/>
    <n v="317133290022"/>
    <n v="317133290022"/>
    <n v="317133290022"/>
    <n v="0"/>
    <n v="0"/>
  </r>
  <r>
    <s v="C-2401-0600-35"/>
    <x v="3"/>
    <n v="4156000000"/>
    <n v="4156000000"/>
    <n v="4156000000"/>
    <n v="1728492822"/>
    <n v="1728492822"/>
  </r>
  <r>
    <s v="C-2401-0600-36"/>
    <x v="4"/>
    <n v="85398657362"/>
    <n v="85398657362"/>
    <n v="85398657362"/>
    <n v="0"/>
    <n v="0"/>
  </r>
  <r>
    <s v="C-2401-0600-37"/>
    <x v="5"/>
    <n v="85084867714"/>
    <n v="85084867714"/>
    <n v="85084867714"/>
    <n v="0"/>
    <n v="0"/>
  </r>
  <r>
    <s v="C-2401-0600-38"/>
    <x v="6"/>
    <n v="185675000000"/>
    <n v="185675000000"/>
    <n v="185675000000"/>
    <n v="0"/>
    <n v="0"/>
  </r>
  <r>
    <s v="C-2401-0600-39"/>
    <x v="7"/>
    <n v="145212755086"/>
    <n v="145212755086"/>
    <n v="145212755086"/>
    <n v="16461851"/>
    <n v="16461851"/>
  </r>
  <r>
    <s v="C-2401-0600-40"/>
    <x v="8"/>
    <n v="129947720020"/>
    <n v="129947720020"/>
    <n v="129947720020"/>
    <n v="0"/>
    <n v="0"/>
  </r>
  <r>
    <s v="C-2401-0600-41"/>
    <x v="9"/>
    <n v="46922713316"/>
    <n v="46922713316"/>
    <n v="46922713316"/>
    <n v="72032238"/>
    <n v="72032238"/>
  </r>
  <r>
    <s v="C-2401-0600-42"/>
    <x v="10"/>
    <n v="167121737135"/>
    <n v="167121737135"/>
    <n v="167121737135"/>
    <n v="0"/>
    <n v="0"/>
  </r>
  <r>
    <s v="C-2401-0600-43"/>
    <x v="11"/>
    <n v="55932079304"/>
    <n v="55932079304"/>
    <n v="55932079304"/>
    <n v="0"/>
    <n v="0"/>
  </r>
  <r>
    <s v="C-2401-0600-44"/>
    <x v="12"/>
    <n v="120513915341"/>
    <n v="120513915341"/>
    <n v="120513915341"/>
    <n v="0"/>
    <n v="0"/>
  </r>
  <r>
    <s v="C-2401-0600-45"/>
    <x v="13"/>
    <n v="65935109516"/>
    <n v="65935109516"/>
    <n v="65935109516"/>
    <n v="0"/>
    <n v="0"/>
  </r>
  <r>
    <s v="C-2401-0600-46"/>
    <x v="14"/>
    <n v="139078459539"/>
    <n v="139078459539"/>
    <n v="139078459539"/>
    <n v="0"/>
    <n v="0"/>
  </r>
  <r>
    <s v="C-2401-0600-47"/>
    <x v="15"/>
    <n v="80231973131"/>
    <n v="80231973131"/>
    <n v="80231973131"/>
    <n v="0"/>
    <n v="0"/>
  </r>
  <r>
    <s v="C-2401-0600-48"/>
    <x v="16"/>
    <n v="70818558035"/>
    <n v="70818558035"/>
    <n v="70818558035"/>
    <n v="0"/>
    <n v="0"/>
  </r>
  <r>
    <s v="C-2401-0600-49"/>
    <x v="17"/>
    <n v="85660554341"/>
    <n v="85660554341"/>
    <n v="85660554341"/>
    <n v="0"/>
    <n v="0"/>
  </r>
  <r>
    <s v="C-2401-0600-50"/>
    <x v="18"/>
    <n v="18593188770"/>
    <n v="18593188770"/>
    <n v="18593188770"/>
    <n v="0"/>
    <n v="0"/>
  </r>
  <r>
    <s v="C-2401-0600-51"/>
    <x v="19"/>
    <n v="100499939948"/>
    <n v="100499939948"/>
    <n v="100499939948"/>
    <n v="0"/>
    <n v="0"/>
  </r>
  <r>
    <s v="C-2401-0600-52"/>
    <x v="20"/>
    <n v="55322597073"/>
    <n v="55322597073"/>
    <n v="55322597073"/>
    <n v="0"/>
    <n v="0"/>
  </r>
  <r>
    <s v="C-2401-0600-53"/>
    <x v="21"/>
    <n v="20341711593"/>
    <n v="20341711593"/>
    <n v="20341711593"/>
    <n v="0"/>
    <n v="0"/>
  </r>
  <r>
    <s v="C-2401-0600-54"/>
    <x v="22"/>
    <n v="1037100000"/>
    <n v="1037100000"/>
    <n v="1037100000"/>
    <n v="0"/>
    <n v="0"/>
  </r>
  <r>
    <s v="C-2401-0600-55"/>
    <x v="23"/>
    <n v="1240000000"/>
    <n v="1188564589.53"/>
    <n v="1187085981.53"/>
    <n v="1013318371.63"/>
    <n v="999786855.63"/>
  </r>
  <r>
    <s v="C-2401-0600-56"/>
    <x v="24"/>
    <n v="6354000000"/>
    <n v="5693715514.1000004"/>
    <n v="5678254087.9499998"/>
    <n v="4655721758.4300003"/>
    <n v="4562651249.4300003"/>
  </r>
  <r>
    <s v="C-2401-0600-58"/>
    <x v="25"/>
    <n v="400000000"/>
    <n v="43860000"/>
    <n v="33960000"/>
    <n v="0"/>
    <n v="0"/>
  </r>
  <r>
    <s v="C-2403-0600-3"/>
    <x v="26"/>
    <n v="3500000000"/>
    <n v="3305728909.8200002"/>
    <n v="3276801882.5700002"/>
    <n v="2581180046.2199998"/>
    <n v="2536750788.2199998"/>
  </r>
  <r>
    <s v="C-2404-0600-2"/>
    <x v="27"/>
    <n v="91700000000"/>
    <n v="89921768462.139999"/>
    <n v="89921768462.139999"/>
    <n v="56598640928.660004"/>
    <n v="53691276822.660004"/>
  </r>
  <r>
    <s v="C-2404-0600-3"/>
    <x v="28"/>
    <n v="1500000000"/>
    <n v="1326095699.8199999"/>
    <n v="1318958069.5699999"/>
    <n v="991629943.14999998"/>
    <n v="968645271.14999998"/>
  </r>
  <r>
    <s v="C-2405-0600-2"/>
    <x v="29"/>
    <n v="1500000000"/>
    <n v="1358593647.1300001"/>
    <n v="1284006634.1300001"/>
    <n v="509256568.13999999"/>
    <n v="492349683.13999999"/>
  </r>
  <r>
    <s v="C-2405-0600-3"/>
    <x v="30"/>
    <n v="1500000000"/>
    <n v="1499363538.98"/>
    <n v="1498172335.1300001"/>
    <n v="1436859482.4200001"/>
    <n v="1413693611.4200001"/>
  </r>
  <r>
    <s v="C-2499-0600-7"/>
    <x v="31"/>
    <n v="200000000"/>
    <n v="105302385.05"/>
    <n v="101527110.05"/>
    <n v="22075212.050000001"/>
    <n v="22075212.050000001"/>
  </r>
  <r>
    <s v="C-2499-0600-8"/>
    <x v="32"/>
    <n v="7829651160"/>
    <n v="7605068438.1499996"/>
    <n v="7517726503.1499996"/>
    <n v="3320510886.5500002"/>
    <n v="3289413935.5500002"/>
  </r>
  <r>
    <s v="C-2499-0600-9"/>
    <x v="33"/>
    <n v="3366000000"/>
    <n v="3359715079.46"/>
    <n v="2075007780.1600001"/>
    <n v="1398142774.1800001"/>
    <n v="1380074774.1800001"/>
  </r>
  <r>
    <s v="C-2499-0600-10"/>
    <x v="34"/>
    <n v="1170348840"/>
    <n v="1118178860.8800001"/>
    <n v="966178860.88"/>
    <n v="403444966"/>
    <n v="2474224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AC70FC-E6B6-487C-A3B0-FFE7BE7B4BBB}" name="TablaDinámica1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5">
  <location ref="B6:C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 APROPIACION_x000a_ VIGENTE" fld="2" baseField="0" baseItem="0" numFmtId="169"/>
  </dataFields>
  <formats count="1">
    <format dxfId="54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E0A195-DF6B-4AAF-9650-6B60B8A72258}" name="TablaDinámica1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0">
  <location ref="B6:F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COMPROMISOS" fld="4" baseField="2" baseItem="1048829" numFmtId="41"/>
    <dataField name=" OBLIGACIONES" fld="5" baseField="1" baseItem="8"/>
    <dataField name=" PAGOS" fld="6" baseField="1" baseItem="9"/>
  </dataFields>
  <formats count="14">
    <format dxfId="53">
      <pivotArea outline="0" fieldPosition="0">
        <references count="1">
          <reference field="4294967294" count="1">
            <x v="0"/>
          </reference>
        </references>
      </pivotArea>
    </format>
    <format dxfId="52">
      <pivotArea outline="0" fieldPosition="0">
        <references count="1">
          <reference field="4294967294" count="1">
            <x v="2"/>
          </reference>
        </references>
      </pivotArea>
    </format>
    <format dxfId="51">
      <pivotArea outline="0" fieldPosition="0">
        <references count="1">
          <reference field="4294967294" count="1">
            <x v="3"/>
          </reference>
        </references>
      </pivotArea>
    </format>
    <format dxfId="50">
      <pivotArea outline="0" fieldPosition="0">
        <references count="1">
          <reference field="4294967294" count="1">
            <x v="0"/>
          </reference>
        </references>
      </pivotArea>
    </format>
    <format dxfId="49">
      <pivotArea outline="0" fieldPosition="0">
        <references count="1">
          <reference field="4294967294" count="1">
            <x v="2"/>
          </reference>
        </references>
      </pivotArea>
    </format>
    <format dxfId="48">
      <pivotArea outline="0" fieldPosition="0">
        <references count="1">
          <reference field="4294967294" count="1">
            <x v="3"/>
          </reference>
        </references>
      </pivotArea>
    </format>
    <format dxfId="47">
      <pivotArea outline="0" fieldPosition="0">
        <references count="1">
          <reference field="4294967294" count="1">
            <x v="0"/>
          </reference>
        </references>
      </pivotArea>
    </format>
    <format dxfId="46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45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43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42">
      <pivotArea outline="0" fieldPosition="0">
        <references count="1">
          <reference field="4294967294" count="1">
            <x v="1"/>
          </reference>
        </references>
      </pivotArea>
    </format>
    <format dxfId="4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0">
      <pivotArea outline="0" collapsedLevelsAreSubtotals="1" fieldPosition="0"/>
    </format>
  </formats>
  <chartFormats count="10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6">
      <pivotArea type="data" outline="0" fieldPosition="0">
        <references count="2">
          <reference field="4294967294" count="1" selected="0">
            <x v="3"/>
          </reference>
          <reference field="1" count="1" selected="0">
            <x v="0"/>
          </reference>
        </references>
      </pivotArea>
    </chartFormat>
    <chartFormat chart="29" format="17">
      <pivotArea type="data"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chartFormat>
    <chartFormat chart="29" format="18">
      <pivotArea type="data" outline="0" fieldPosition="0">
        <references count="2">
          <reference field="4294967294" count="1" selected="0">
            <x v="2"/>
          </reference>
          <reference field="1" count="1" selected="0">
            <x v="5"/>
          </reference>
        </references>
      </pivotArea>
    </chartFormat>
    <chartFormat chart="29" format="19">
      <pivotArea type="data" outline="0" fieldPosition="0">
        <references count="2">
          <reference field="4294967294" count="1" selected="0">
            <x v="3"/>
          </reference>
          <reference field="1" count="1" selected="0">
            <x v="5"/>
          </reference>
        </references>
      </pivotArea>
    </chartFormat>
    <chartFormat chart="29" format="20">
      <pivotArea type="data" outline="0" fieldPosition="0">
        <references count="2">
          <reference field="4294967294" count="1" selected="0">
            <x v="2"/>
          </reference>
          <reference field="1" count="1" selected="0">
            <x v="6"/>
          </reference>
        </references>
      </pivotArea>
    </chartFormat>
    <chartFormat chart="29" format="21">
      <pivotArea type="data" outline="0" fieldPosition="0">
        <references count="2">
          <reference field="4294967294" count="1" selected="0">
            <x v="3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2316D-FC7A-4A6B-803F-8C0D7F628297}" name="TablaDinámica1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3">
  <location ref="B6:F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8">
    <format dxfId="39">
      <pivotArea dataOnly="0" labelOnly="1" fieldPosition="0">
        <references count="1">
          <reference field="1" count="1">
            <x v="4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2">
      <pivotArea outline="0" collapsedLevelsAreSubtotals="1" fieldPosition="0"/>
    </format>
  </formats>
  <chartFormats count="11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26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274EA8-A582-4471-8B76-6B6798E0896E}" name="TablaDinámica1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>
  <location ref="B8:E9" firstHeaderRow="0" firstDataRow="1" firstDataCol="0" rowPageCount="1" colPageCount="1"/>
  <pivotFields count="7">
    <pivotField showAll="0"/>
    <pivotField axis="axisPage" subtotalTop="0" multipleItemSelectionAllowed="1" showAll="0">
      <items count="3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0"/>
        <item x="25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1 APROPIACION_x000a_ VIGENTE" fld="2" baseField="0" baseItem="0"/>
    <dataField name="2 COMPROMISOS_x000a_ ACUMULADOS" fld="4" baseField="0" baseItem="0"/>
    <dataField name="3 OBLIGACIONES_x000a_ ACUMULADAS" fld="5" baseField="0" baseItem="0" numFmtId="166"/>
    <dataField name=" PAGOS_x000a_ ACUMULADOS" fld="6" baseField="0" baseItem="0" numFmtId="166"/>
  </dataFields>
  <formats count="8">
    <format dxfId="31">
      <pivotArea collapsedLevelsAreSubtotals="1" fieldPosition="0">
        <references count="1">
          <reference field="1" count="0"/>
        </references>
      </pivotArea>
    </format>
    <format dxfId="30">
      <pivotArea grandRow="1" outline="0" collapsedLevelsAreSubtotals="1" fieldPosition="0"/>
    </format>
    <format dxfId="29">
      <pivotArea collapsedLevelsAreSubtotals="1" fieldPosition="0">
        <references count="1">
          <reference field="1" count="0"/>
        </references>
      </pivotArea>
    </format>
    <format dxfId="28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27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26">
      <pivotArea dataOnly="0" outline="0" fieldPosition="0">
        <references count="1">
          <reference field="1" count="0"/>
        </references>
      </pivotArea>
    </format>
    <format dxfId="25">
      <pivotArea field="1" type="button" dataOnly="0" labelOnly="1" outline="0" axis="axisPage" fieldPosition="0"/>
    </format>
    <format dxfId="24">
      <pivotArea outline="0" collapsedLevelsAreSubtotals="1" fieldPosition="0"/>
    </format>
  </formats>
  <chartFormats count="8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6" format="7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5FA1-5E8F-44E3-832A-804E659E901B}">
  <sheetPr>
    <tabColor theme="5" tint="-0.249977111117893"/>
  </sheetPr>
  <dimension ref="B9:B14"/>
  <sheetViews>
    <sheetView showGridLines="0" showRowColHeaders="0" tabSelected="1" workbookViewId="0">
      <selection activeCell="B9" sqref="B9"/>
    </sheetView>
  </sheetViews>
  <sheetFormatPr baseColWidth="10" defaultRowHeight="15" x14ac:dyDescent="0.25"/>
  <cols>
    <col min="1" max="1" width="31.140625" bestFit="1" customWidth="1"/>
    <col min="2" max="2" width="165.5703125" bestFit="1" customWidth="1"/>
  </cols>
  <sheetData>
    <row r="9" spans="2:2" ht="36" x14ac:dyDescent="0.55000000000000004">
      <c r="B9" s="17"/>
    </row>
    <row r="10" spans="2:2" ht="36" x14ac:dyDescent="0.55000000000000004">
      <c r="B10" s="18" t="s">
        <v>105</v>
      </c>
    </row>
    <row r="11" spans="2:2" ht="36" x14ac:dyDescent="0.55000000000000004">
      <c r="B11" s="18" t="s">
        <v>113</v>
      </c>
    </row>
    <row r="12" spans="2:2" ht="36" x14ac:dyDescent="0.55000000000000004">
      <c r="B12" s="18" t="s">
        <v>106</v>
      </c>
    </row>
    <row r="13" spans="2:2" ht="36" x14ac:dyDescent="0.55000000000000004">
      <c r="B13" s="18" t="s">
        <v>107</v>
      </c>
    </row>
    <row r="14" spans="2:2" ht="36" x14ac:dyDescent="0.55000000000000004">
      <c r="B14" s="19"/>
    </row>
  </sheetData>
  <hyperlinks>
    <hyperlink ref="B10" location="'Participación Apropiación '!A1" display="Porcentaje Participación de la apropiación  por concepto de Gasto" xr:uid="{C7DF8F8B-1624-4F34-A767-D70773455608}"/>
    <hyperlink ref="B11" location="'APR VS RP  Y OBLIGACIÓN Y PAGO'!A1" display="Ejecución Acumulada al  31/05/2019" xr:uid="{01632E50-8706-4619-8261-1DDC841E2602}"/>
    <hyperlink ref="B12" location="'APR,RP´S,OBL Y PAGO FUNCIONAMIE'!A1" display="Comparativo presupuesto de Funcionamiento " xr:uid="{1CA02944-74A0-446B-9897-3F86F20E2FAA}"/>
    <hyperlink ref="B13" location="'INVERSIÓN APR VS RP Y OBLI'!A1" display="Detalle Ejecución Preupuestal por Proyecto de Inversión " xr:uid="{104822A4-DCDD-43FD-8B4E-B8A60777A614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B6:J46"/>
  <sheetViews>
    <sheetView showGridLines="0" showRowColHeaders="0" workbookViewId="0"/>
  </sheetViews>
  <sheetFormatPr baseColWidth="10" defaultRowHeight="15" x14ac:dyDescent="0.25"/>
  <cols>
    <col min="2" max="2" width="31.140625" bestFit="1" customWidth="1"/>
    <col min="3" max="3" width="23.5703125" bestFit="1" customWidth="1"/>
  </cols>
  <sheetData>
    <row r="6" spans="2:6" x14ac:dyDescent="0.25">
      <c r="B6" s="6" t="s">
        <v>5</v>
      </c>
      <c r="C6" t="s">
        <v>23</v>
      </c>
    </row>
    <row r="7" spans="2:6" x14ac:dyDescent="0.25">
      <c r="B7" s="2" t="s">
        <v>28</v>
      </c>
      <c r="C7" s="35">
        <v>74780.665238999994</v>
      </c>
    </row>
    <row r="8" spans="2:6" x14ac:dyDescent="0.25">
      <c r="B8" s="2" t="s">
        <v>29</v>
      </c>
      <c r="C8" s="35">
        <v>608283.88239899999</v>
      </c>
    </row>
    <row r="9" spans="2:6" x14ac:dyDescent="0.25">
      <c r="B9" s="2" t="s">
        <v>30</v>
      </c>
      <c r="C9" s="35">
        <v>2233693.0285069998</v>
      </c>
    </row>
    <row r="10" spans="2:6" x14ac:dyDescent="0.25">
      <c r="B10" s="2" t="s">
        <v>6</v>
      </c>
      <c r="C10" s="35">
        <v>2916757.5761449998</v>
      </c>
    </row>
    <row r="12" spans="2:6" x14ac:dyDescent="0.25">
      <c r="F12" s="9" t="s">
        <v>21</v>
      </c>
    </row>
    <row r="38" spans="2:10" ht="15.75" thickBot="1" x14ac:dyDescent="0.3"/>
    <row r="39" spans="2:10" ht="15.75" thickTop="1" x14ac:dyDescent="0.25">
      <c r="B39" s="40" t="s">
        <v>112</v>
      </c>
      <c r="C39" s="41"/>
      <c r="D39" s="41"/>
      <c r="E39" s="41"/>
      <c r="F39" s="41"/>
      <c r="G39" s="41"/>
      <c r="H39" s="41"/>
      <c r="I39" s="41"/>
      <c r="J39" s="42"/>
    </row>
    <row r="40" spans="2:10" x14ac:dyDescent="0.25">
      <c r="B40" s="43"/>
      <c r="C40" s="44"/>
      <c r="D40" s="44"/>
      <c r="E40" s="44"/>
      <c r="F40" s="44"/>
      <c r="G40" s="44"/>
      <c r="H40" s="44"/>
      <c r="I40" s="44"/>
      <c r="J40" s="45"/>
    </row>
    <row r="41" spans="2:10" x14ac:dyDescent="0.25">
      <c r="B41" s="43"/>
      <c r="C41" s="44"/>
      <c r="D41" s="44"/>
      <c r="E41" s="44"/>
      <c r="F41" s="44"/>
      <c r="G41" s="44"/>
      <c r="H41" s="44"/>
      <c r="I41" s="44"/>
      <c r="J41" s="45"/>
    </row>
    <row r="42" spans="2:10" x14ac:dyDescent="0.25">
      <c r="B42" s="43"/>
      <c r="C42" s="44"/>
      <c r="D42" s="44"/>
      <c r="E42" s="44"/>
      <c r="F42" s="44"/>
      <c r="G42" s="44"/>
      <c r="H42" s="44"/>
      <c r="I42" s="44"/>
      <c r="J42" s="45"/>
    </row>
    <row r="43" spans="2:10" x14ac:dyDescent="0.25">
      <c r="B43" s="43"/>
      <c r="C43" s="44"/>
      <c r="D43" s="44"/>
      <c r="E43" s="44"/>
      <c r="F43" s="44"/>
      <c r="G43" s="44"/>
      <c r="H43" s="44"/>
      <c r="I43" s="44"/>
      <c r="J43" s="45"/>
    </row>
    <row r="44" spans="2:10" x14ac:dyDescent="0.25">
      <c r="B44" s="43"/>
      <c r="C44" s="44"/>
      <c r="D44" s="44"/>
      <c r="E44" s="44"/>
      <c r="F44" s="44"/>
      <c r="G44" s="44"/>
      <c r="H44" s="44"/>
      <c r="I44" s="44"/>
      <c r="J44" s="45"/>
    </row>
    <row r="45" spans="2:10" ht="45.75" customHeight="1" thickBot="1" x14ac:dyDescent="0.3">
      <c r="B45" s="46"/>
      <c r="C45" s="47"/>
      <c r="D45" s="47"/>
      <c r="E45" s="47"/>
      <c r="F45" s="47"/>
      <c r="G45" s="47"/>
      <c r="H45" s="47"/>
      <c r="I45" s="47"/>
      <c r="J45" s="48"/>
    </row>
    <row r="46" spans="2:10" ht="15.75" thickTop="1" x14ac:dyDescent="0.25"/>
  </sheetData>
  <mergeCells count="1">
    <mergeCell ref="B39:J45"/>
  </mergeCells>
  <pageMargins left="0.70866141732283472" right="0.70866141732283472" top="0.74803149606299213" bottom="0.74803149606299213" header="0.31496062992125984" footer="0.31496062992125984"/>
  <pageSetup scale="74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C2" sqref="C2"/>
    </sheetView>
  </sheetViews>
  <sheetFormatPr baseColWidth="10" defaultRowHeight="15" x14ac:dyDescent="0.25"/>
  <cols>
    <col min="1" max="1" width="27" style="3" customWidth="1"/>
    <col min="2" max="2" width="29.7109375" bestFit="1" customWidth="1"/>
    <col min="3" max="3" width="36.42578125" style="1" customWidth="1"/>
    <col min="4" max="4" width="27.28515625" style="1" customWidth="1"/>
    <col min="5" max="5" width="30.42578125" style="1" bestFit="1" customWidth="1"/>
    <col min="6" max="6" width="29.7109375" style="1" bestFit="1" customWidth="1"/>
    <col min="7" max="7" width="22.7109375" style="1" bestFit="1" customWidth="1"/>
    <col min="8" max="9" width="16.28515625" bestFit="1" customWidth="1"/>
  </cols>
  <sheetData>
    <row r="1" spans="1:7" ht="30" x14ac:dyDescent="0.25">
      <c r="A1" s="4" t="s">
        <v>0</v>
      </c>
      <c r="B1" s="5" t="s">
        <v>1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</row>
    <row r="2" spans="1:7" x14ac:dyDescent="0.25">
      <c r="A2" s="4" t="s">
        <v>2</v>
      </c>
      <c r="B2" s="5" t="s">
        <v>28</v>
      </c>
      <c r="C2" s="37">
        <v>74780.665238999994</v>
      </c>
      <c r="D2" s="37">
        <v>66921.8685023</v>
      </c>
      <c r="E2" s="37">
        <v>59994.612168750005</v>
      </c>
      <c r="F2" s="37">
        <v>57506.423101339999</v>
      </c>
      <c r="G2" s="37">
        <v>56750.737390339993</v>
      </c>
    </row>
    <row r="3" spans="1:7" x14ac:dyDescent="0.25">
      <c r="A3" s="4" t="s">
        <v>24</v>
      </c>
      <c r="B3" s="5" t="s">
        <v>31</v>
      </c>
      <c r="C3" s="37">
        <v>45158</v>
      </c>
      <c r="D3" s="37">
        <v>45148.646355199999</v>
      </c>
      <c r="E3" s="37">
        <v>39496.86514193</v>
      </c>
      <c r="F3" s="37">
        <v>39469.638320599995</v>
      </c>
      <c r="G3" s="37">
        <v>38799.519420600001</v>
      </c>
    </row>
    <row r="4" spans="1:7" x14ac:dyDescent="0.25">
      <c r="A4" s="4" t="s">
        <v>25</v>
      </c>
      <c r="B4" s="5" t="s">
        <v>32</v>
      </c>
      <c r="C4" s="37">
        <v>17402.665239000002</v>
      </c>
      <c r="D4" s="37">
        <v>17201.240868010002</v>
      </c>
      <c r="E4" s="37">
        <v>16914.307193839999</v>
      </c>
      <c r="F4" s="37">
        <v>15143.389125859998</v>
      </c>
      <c r="G4" s="37">
        <v>15057.822314859999</v>
      </c>
    </row>
    <row r="5" spans="1:7" x14ac:dyDescent="0.25">
      <c r="A5" s="4" t="s">
        <v>26</v>
      </c>
      <c r="B5" s="5" t="s">
        <v>33</v>
      </c>
      <c r="C5" s="37">
        <v>8644</v>
      </c>
      <c r="D5" s="37">
        <v>4571.9812790900005</v>
      </c>
      <c r="E5" s="37">
        <v>3583.4398329800001</v>
      </c>
      <c r="F5" s="37">
        <v>2893.3956548799997</v>
      </c>
      <c r="G5" s="37">
        <v>2893.3956548799997</v>
      </c>
    </row>
    <row r="6" spans="1:7" x14ac:dyDescent="0.25">
      <c r="A6" s="4" t="s">
        <v>27</v>
      </c>
      <c r="B6" s="5" t="s">
        <v>34</v>
      </c>
      <c r="C6" s="37">
        <v>3576</v>
      </c>
      <c r="D6" s="37">
        <v>0</v>
      </c>
      <c r="E6" s="37">
        <v>0</v>
      </c>
      <c r="F6" s="37">
        <v>0</v>
      </c>
      <c r="G6" s="37">
        <v>0</v>
      </c>
    </row>
    <row r="7" spans="1:7" x14ac:dyDescent="0.25">
      <c r="A7" s="4" t="s">
        <v>3</v>
      </c>
      <c r="B7" s="5" t="s">
        <v>29</v>
      </c>
      <c r="C7" s="37">
        <v>608283.88239899999</v>
      </c>
      <c r="D7" s="37">
        <v>473833.88903999998</v>
      </c>
      <c r="E7" s="37">
        <v>473833.88903999998</v>
      </c>
      <c r="F7" s="37">
        <v>473833.88903999998</v>
      </c>
      <c r="G7" s="37">
        <v>473833.88903999998</v>
      </c>
    </row>
    <row r="8" spans="1:7" x14ac:dyDescent="0.25">
      <c r="A8" s="4" t="s">
        <v>4</v>
      </c>
      <c r="B8" s="5" t="s">
        <v>30</v>
      </c>
      <c r="C8" s="37">
        <v>2233693.0285069998</v>
      </c>
      <c r="D8" s="37">
        <v>2191217.9836320602</v>
      </c>
      <c r="E8" s="37">
        <v>2189551.4762142599</v>
      </c>
      <c r="F8" s="37">
        <v>74762.086816430005</v>
      </c>
      <c r="G8" s="37">
        <v>71435.446565430015</v>
      </c>
    </row>
    <row r="9" spans="1:7" x14ac:dyDescent="0.25">
      <c r="B9" s="1"/>
      <c r="F9"/>
      <c r="G9"/>
    </row>
    <row r="10" spans="1:7" x14ac:dyDescent="0.25">
      <c r="B1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9"/>
  <sheetViews>
    <sheetView topLeftCell="A16" workbookViewId="0">
      <selection activeCell="D2" sqref="D2:D38"/>
    </sheetView>
  </sheetViews>
  <sheetFormatPr baseColWidth="10" defaultRowHeight="15" x14ac:dyDescent="0.25"/>
  <cols>
    <col min="2" max="2" width="14.28515625" bestFit="1" customWidth="1"/>
    <col min="3" max="3" width="94.42578125" customWidth="1"/>
    <col min="4" max="4" width="23" style="1" bestFit="1" customWidth="1"/>
    <col min="5" max="5" width="33.28515625" style="1" bestFit="1" customWidth="1"/>
    <col min="6" max="6" width="30.7109375" style="1" bestFit="1" customWidth="1"/>
    <col min="7" max="7" width="30.5703125" style="1" bestFit="1" customWidth="1"/>
    <col min="8" max="8" width="23" style="1" bestFit="1" customWidth="1"/>
    <col min="9" max="9" width="16.28515625" bestFit="1" customWidth="1"/>
  </cols>
  <sheetData>
    <row r="1" spans="2:9" ht="15.75" thickBot="1" x14ac:dyDescent="0.3">
      <c r="B1" s="34" t="s">
        <v>35</v>
      </c>
      <c r="C1" s="34" t="s">
        <v>1</v>
      </c>
      <c r="D1" s="50" t="s">
        <v>7</v>
      </c>
      <c r="E1" s="50" t="s">
        <v>8</v>
      </c>
      <c r="F1" s="50" t="s">
        <v>9</v>
      </c>
      <c r="G1" s="50" t="s">
        <v>10</v>
      </c>
      <c r="H1" s="50" t="s">
        <v>14</v>
      </c>
    </row>
    <row r="2" spans="2:9" ht="30.75" thickTop="1" x14ac:dyDescent="0.25">
      <c r="B2" s="30" t="s">
        <v>36</v>
      </c>
      <c r="C2" s="30" t="s">
        <v>108</v>
      </c>
      <c r="D2" s="51">
        <v>38741000000</v>
      </c>
      <c r="E2" s="51">
        <v>0</v>
      </c>
      <c r="F2" s="51">
        <v>0</v>
      </c>
      <c r="G2" s="51">
        <v>0</v>
      </c>
      <c r="H2" s="51">
        <v>0</v>
      </c>
      <c r="I2" s="7"/>
    </row>
    <row r="3" spans="2:9" ht="30" x14ac:dyDescent="0.25">
      <c r="B3" s="30" t="s">
        <v>37</v>
      </c>
      <c r="C3" s="30" t="s">
        <v>38</v>
      </c>
      <c r="D3" s="51">
        <v>94074101261</v>
      </c>
      <c r="E3" s="51">
        <v>94074101261</v>
      </c>
      <c r="F3" s="51">
        <v>94074101261</v>
      </c>
      <c r="G3" s="51">
        <v>14318968</v>
      </c>
      <c r="H3" s="51">
        <v>14318968</v>
      </c>
      <c r="I3" s="7"/>
    </row>
    <row r="4" spans="2:9" ht="30" x14ac:dyDescent="0.25">
      <c r="B4" s="30" t="s">
        <v>39</v>
      </c>
      <c r="C4" s="30" t="s">
        <v>40</v>
      </c>
      <c r="D4" s="51">
        <v>317133290022</v>
      </c>
      <c r="E4" s="51">
        <v>317133290022</v>
      </c>
      <c r="F4" s="51">
        <v>317133290022</v>
      </c>
      <c r="G4" s="51">
        <v>0</v>
      </c>
      <c r="H4" s="51">
        <v>0</v>
      </c>
      <c r="I4" s="7"/>
    </row>
    <row r="5" spans="2:9" ht="30" x14ac:dyDescent="0.25">
      <c r="B5" s="30" t="s">
        <v>41</v>
      </c>
      <c r="C5" s="30" t="s">
        <v>42</v>
      </c>
      <c r="D5" s="51">
        <v>4156000000</v>
      </c>
      <c r="E5" s="51">
        <v>4156000000</v>
      </c>
      <c r="F5" s="51">
        <v>4156000000</v>
      </c>
      <c r="G5" s="51">
        <v>1728492822</v>
      </c>
      <c r="H5" s="51">
        <v>1728492822</v>
      </c>
      <c r="I5" s="7"/>
    </row>
    <row r="6" spans="2:9" ht="30" x14ac:dyDescent="0.25">
      <c r="B6" s="30" t="s">
        <v>43</v>
      </c>
      <c r="C6" s="30" t="s">
        <v>44</v>
      </c>
      <c r="D6" s="51">
        <v>85398657362</v>
      </c>
      <c r="E6" s="51">
        <v>85398657362</v>
      </c>
      <c r="F6" s="51">
        <v>85398657362</v>
      </c>
      <c r="G6" s="51">
        <v>0</v>
      </c>
      <c r="H6" s="51">
        <v>0</v>
      </c>
      <c r="I6" s="7"/>
    </row>
    <row r="7" spans="2:9" ht="30" x14ac:dyDescent="0.25">
      <c r="B7" s="30" t="s">
        <v>45</v>
      </c>
      <c r="C7" s="30" t="s">
        <v>46</v>
      </c>
      <c r="D7" s="51">
        <v>85084867714</v>
      </c>
      <c r="E7" s="51">
        <v>85084867714</v>
      </c>
      <c r="F7" s="51">
        <v>85084867714</v>
      </c>
      <c r="G7" s="51">
        <v>0</v>
      </c>
      <c r="H7" s="51">
        <v>0</v>
      </c>
      <c r="I7" s="7"/>
    </row>
    <row r="8" spans="2:9" ht="30" x14ac:dyDescent="0.25">
      <c r="B8" s="30" t="s">
        <v>47</v>
      </c>
      <c r="C8" s="30" t="s">
        <v>48</v>
      </c>
      <c r="D8" s="51">
        <v>185675000000</v>
      </c>
      <c r="E8" s="51">
        <v>185675000000</v>
      </c>
      <c r="F8" s="51">
        <v>185675000000</v>
      </c>
      <c r="G8" s="51">
        <v>0</v>
      </c>
      <c r="H8" s="51">
        <v>0</v>
      </c>
      <c r="I8" s="7"/>
    </row>
    <row r="9" spans="2:9" ht="45" x14ac:dyDescent="0.25">
      <c r="B9" s="30" t="s">
        <v>49</v>
      </c>
      <c r="C9" s="30" t="s">
        <v>50</v>
      </c>
      <c r="D9" s="51">
        <v>145212755086</v>
      </c>
      <c r="E9" s="51">
        <v>145212755086</v>
      </c>
      <c r="F9" s="51">
        <v>145212755086</v>
      </c>
      <c r="G9" s="51">
        <v>16461851</v>
      </c>
      <c r="H9" s="51">
        <v>16461851</v>
      </c>
      <c r="I9" s="7"/>
    </row>
    <row r="10" spans="2:9" ht="30" x14ac:dyDescent="0.25">
      <c r="B10" s="30" t="s">
        <v>51</v>
      </c>
      <c r="C10" s="30" t="s">
        <v>52</v>
      </c>
      <c r="D10" s="51">
        <v>129947720020</v>
      </c>
      <c r="E10" s="51">
        <v>129947720020</v>
      </c>
      <c r="F10" s="51">
        <v>129947720020</v>
      </c>
      <c r="G10" s="51">
        <v>0</v>
      </c>
      <c r="H10" s="51">
        <v>0</v>
      </c>
      <c r="I10" s="7"/>
    </row>
    <row r="11" spans="2:9" ht="30" x14ac:dyDescent="0.25">
      <c r="B11" s="30" t="s">
        <v>53</v>
      </c>
      <c r="C11" s="30" t="s">
        <v>54</v>
      </c>
      <c r="D11" s="51">
        <v>46922713316</v>
      </c>
      <c r="E11" s="51">
        <v>46922713316</v>
      </c>
      <c r="F11" s="51">
        <v>46922713316</v>
      </c>
      <c r="G11" s="51">
        <v>72032238</v>
      </c>
      <c r="H11" s="51">
        <v>72032238</v>
      </c>
      <c r="I11" s="7"/>
    </row>
    <row r="12" spans="2:9" ht="30" x14ac:dyDescent="0.25">
      <c r="B12" s="30" t="s">
        <v>55</v>
      </c>
      <c r="C12" s="30" t="s">
        <v>56</v>
      </c>
      <c r="D12" s="51">
        <v>167121737135</v>
      </c>
      <c r="E12" s="51">
        <v>167121737135</v>
      </c>
      <c r="F12" s="51">
        <v>167121737135</v>
      </c>
      <c r="G12" s="51">
        <v>0</v>
      </c>
      <c r="H12" s="51">
        <v>0</v>
      </c>
      <c r="I12" s="7"/>
    </row>
    <row r="13" spans="2:9" ht="30" x14ac:dyDescent="0.25">
      <c r="B13" s="30" t="s">
        <v>57</v>
      </c>
      <c r="C13" s="30" t="s">
        <v>58</v>
      </c>
      <c r="D13" s="51">
        <v>55932079304</v>
      </c>
      <c r="E13" s="51">
        <v>55932079304</v>
      </c>
      <c r="F13" s="51">
        <v>55932079304</v>
      </c>
      <c r="G13" s="51">
        <v>0</v>
      </c>
      <c r="H13" s="51">
        <v>0</v>
      </c>
      <c r="I13" s="7"/>
    </row>
    <row r="14" spans="2:9" ht="30" x14ac:dyDescent="0.25">
      <c r="B14" s="30" t="s">
        <v>59</v>
      </c>
      <c r="C14" s="30" t="s">
        <v>60</v>
      </c>
      <c r="D14" s="51">
        <v>120513915341</v>
      </c>
      <c r="E14" s="51">
        <v>120513915341</v>
      </c>
      <c r="F14" s="51">
        <v>120513915341</v>
      </c>
      <c r="G14" s="51">
        <v>0</v>
      </c>
      <c r="H14" s="51">
        <v>0</v>
      </c>
      <c r="I14" s="7"/>
    </row>
    <row r="15" spans="2:9" ht="30" x14ac:dyDescent="0.25">
      <c r="B15" s="30" t="s">
        <v>61</v>
      </c>
      <c r="C15" s="30" t="s">
        <v>62</v>
      </c>
      <c r="D15" s="51">
        <v>65935109516</v>
      </c>
      <c r="E15" s="51">
        <v>65935109516</v>
      </c>
      <c r="F15" s="51">
        <v>65935109516</v>
      </c>
      <c r="G15" s="51">
        <v>0</v>
      </c>
      <c r="H15" s="51">
        <v>0</v>
      </c>
      <c r="I15" s="7"/>
    </row>
    <row r="16" spans="2:9" ht="30" x14ac:dyDescent="0.25">
      <c r="B16" s="30" t="s">
        <v>63</v>
      </c>
      <c r="C16" s="30" t="s">
        <v>64</v>
      </c>
      <c r="D16" s="51">
        <v>139078459539</v>
      </c>
      <c r="E16" s="51">
        <v>139078459539</v>
      </c>
      <c r="F16" s="51">
        <v>139078459539</v>
      </c>
      <c r="G16" s="51">
        <v>0</v>
      </c>
      <c r="H16" s="51">
        <v>0</v>
      </c>
      <c r="I16" s="7"/>
    </row>
    <row r="17" spans="2:9" ht="30" x14ac:dyDescent="0.25">
      <c r="B17" s="30" t="s">
        <v>65</v>
      </c>
      <c r="C17" s="30" t="s">
        <v>66</v>
      </c>
      <c r="D17" s="51">
        <v>80231973131</v>
      </c>
      <c r="E17" s="51">
        <v>80231973131</v>
      </c>
      <c r="F17" s="51">
        <v>80231973131</v>
      </c>
      <c r="G17" s="51">
        <v>0</v>
      </c>
      <c r="H17" s="51">
        <v>0</v>
      </c>
      <c r="I17" s="7"/>
    </row>
    <row r="18" spans="2:9" ht="30" x14ac:dyDescent="0.25">
      <c r="B18" s="30" t="s">
        <v>67</v>
      </c>
      <c r="C18" s="30" t="s">
        <v>68</v>
      </c>
      <c r="D18" s="51">
        <v>70818558035</v>
      </c>
      <c r="E18" s="51">
        <v>70818558035</v>
      </c>
      <c r="F18" s="51">
        <v>70818558035</v>
      </c>
      <c r="G18" s="51">
        <v>0</v>
      </c>
      <c r="H18" s="51">
        <v>0</v>
      </c>
      <c r="I18" s="7"/>
    </row>
    <row r="19" spans="2:9" ht="30" x14ac:dyDescent="0.25">
      <c r="B19" s="30" t="s">
        <v>69</v>
      </c>
      <c r="C19" s="30" t="s">
        <v>70</v>
      </c>
      <c r="D19" s="51">
        <v>85660554341</v>
      </c>
      <c r="E19" s="51">
        <v>85660554341</v>
      </c>
      <c r="F19" s="51">
        <v>85660554341</v>
      </c>
      <c r="G19" s="51">
        <v>0</v>
      </c>
      <c r="H19" s="51">
        <v>0</v>
      </c>
      <c r="I19" s="7"/>
    </row>
    <row r="20" spans="2:9" ht="30" x14ac:dyDescent="0.25">
      <c r="B20" s="30" t="s">
        <v>71</v>
      </c>
      <c r="C20" s="30" t="s">
        <v>72</v>
      </c>
      <c r="D20" s="51">
        <v>18593188770</v>
      </c>
      <c r="E20" s="51">
        <v>18593188770</v>
      </c>
      <c r="F20" s="51">
        <v>18593188770</v>
      </c>
      <c r="G20" s="51">
        <v>0</v>
      </c>
      <c r="H20" s="51">
        <v>0</v>
      </c>
      <c r="I20" s="7"/>
    </row>
    <row r="21" spans="2:9" ht="30" x14ac:dyDescent="0.25">
      <c r="B21" s="30" t="s">
        <v>73</v>
      </c>
      <c r="C21" s="30" t="s">
        <v>74</v>
      </c>
      <c r="D21" s="51">
        <v>100499939948</v>
      </c>
      <c r="E21" s="51">
        <v>100499939948</v>
      </c>
      <c r="F21" s="51">
        <v>100499939948</v>
      </c>
      <c r="G21" s="51">
        <v>0</v>
      </c>
      <c r="H21" s="51">
        <v>0</v>
      </c>
      <c r="I21" s="7"/>
    </row>
    <row r="22" spans="2:9" ht="30" x14ac:dyDescent="0.25">
      <c r="B22" s="30" t="s">
        <v>75</v>
      </c>
      <c r="C22" s="30" t="s">
        <v>76</v>
      </c>
      <c r="D22" s="51">
        <v>55322597073</v>
      </c>
      <c r="E22" s="51">
        <v>55322597073</v>
      </c>
      <c r="F22" s="51">
        <v>55322597073</v>
      </c>
      <c r="G22" s="51">
        <v>0</v>
      </c>
      <c r="H22" s="51">
        <v>0</v>
      </c>
      <c r="I22" s="7"/>
    </row>
    <row r="23" spans="2:9" ht="30" x14ac:dyDescent="0.25">
      <c r="B23" s="30" t="s">
        <v>77</v>
      </c>
      <c r="C23" s="30" t="s">
        <v>78</v>
      </c>
      <c r="D23" s="51">
        <v>20341711593</v>
      </c>
      <c r="E23" s="51">
        <v>20341711593</v>
      </c>
      <c r="F23" s="51">
        <v>20341711593</v>
      </c>
      <c r="G23" s="51">
        <v>0</v>
      </c>
      <c r="H23" s="51">
        <v>0</v>
      </c>
      <c r="I23" s="7"/>
    </row>
    <row r="24" spans="2:9" ht="30" x14ac:dyDescent="0.25">
      <c r="B24" s="30" t="s">
        <v>79</v>
      </c>
      <c r="C24" s="30" t="s">
        <v>80</v>
      </c>
      <c r="D24" s="51">
        <v>1037100000</v>
      </c>
      <c r="E24" s="51">
        <v>1037100000</v>
      </c>
      <c r="F24" s="51">
        <v>1037100000</v>
      </c>
      <c r="G24" s="51">
        <v>0</v>
      </c>
      <c r="H24" s="51">
        <v>0</v>
      </c>
      <c r="I24" s="7"/>
    </row>
    <row r="25" spans="2:9" x14ac:dyDescent="0.25">
      <c r="B25" s="31" t="s">
        <v>81</v>
      </c>
      <c r="C25" s="31" t="s">
        <v>82</v>
      </c>
      <c r="D25" s="33">
        <v>1240000000</v>
      </c>
      <c r="E25" s="33">
        <v>1188564589.53</v>
      </c>
      <c r="F25" s="33">
        <v>1187085981.53</v>
      </c>
      <c r="G25" s="33">
        <v>1013318371.63</v>
      </c>
      <c r="H25" s="33">
        <v>999786855.63</v>
      </c>
      <c r="I25" s="7"/>
    </row>
    <row r="26" spans="2:9" x14ac:dyDescent="0.25">
      <c r="B26" s="31" t="s">
        <v>83</v>
      </c>
      <c r="C26" s="31" t="s">
        <v>84</v>
      </c>
      <c r="D26" s="33">
        <v>6354000000</v>
      </c>
      <c r="E26" s="33">
        <v>5693715514.1000004</v>
      </c>
      <c r="F26" s="33">
        <v>5678254087.9499998</v>
      </c>
      <c r="G26" s="33">
        <v>4655721758.4300003</v>
      </c>
      <c r="H26" s="33">
        <v>4562651249.4300003</v>
      </c>
      <c r="I26" s="7"/>
    </row>
    <row r="27" spans="2:9" x14ac:dyDescent="0.25">
      <c r="B27" s="31" t="s">
        <v>109</v>
      </c>
      <c r="C27" s="31" t="s">
        <v>110</v>
      </c>
      <c r="D27" s="33">
        <v>400000000</v>
      </c>
      <c r="E27" s="33">
        <v>43860000</v>
      </c>
      <c r="F27" s="33">
        <v>33960000</v>
      </c>
      <c r="G27" s="33">
        <v>0</v>
      </c>
      <c r="H27" s="33">
        <v>0</v>
      </c>
      <c r="I27" s="7"/>
    </row>
    <row r="28" spans="2:9" x14ac:dyDescent="0.25">
      <c r="B28" s="31" t="s">
        <v>85</v>
      </c>
      <c r="C28" s="31" t="s">
        <v>86</v>
      </c>
      <c r="D28" s="33">
        <v>3500000000</v>
      </c>
      <c r="E28" s="33">
        <v>3305728909.8200002</v>
      </c>
      <c r="F28" s="33">
        <v>3276801882.5700002</v>
      </c>
      <c r="G28" s="33">
        <v>2581180046.2199998</v>
      </c>
      <c r="H28" s="33">
        <v>2536750788.2199998</v>
      </c>
      <c r="I28" s="7"/>
    </row>
    <row r="29" spans="2:9" x14ac:dyDescent="0.25">
      <c r="B29" s="30" t="s">
        <v>87</v>
      </c>
      <c r="C29" s="30" t="s">
        <v>88</v>
      </c>
      <c r="D29" s="51">
        <v>91700000000</v>
      </c>
      <c r="E29" s="51">
        <v>89921768462.139999</v>
      </c>
      <c r="F29" s="51">
        <v>89921768462.139999</v>
      </c>
      <c r="G29" s="51">
        <v>56598640928.660004</v>
      </c>
      <c r="H29" s="51">
        <v>53691276822.660004</v>
      </c>
      <c r="I29" s="7"/>
    </row>
    <row r="30" spans="2:9" x14ac:dyDescent="0.25">
      <c r="B30" s="31" t="s">
        <v>89</v>
      </c>
      <c r="C30" s="31" t="s">
        <v>90</v>
      </c>
      <c r="D30" s="33">
        <v>1500000000</v>
      </c>
      <c r="E30" s="33">
        <v>1326095699.8199999</v>
      </c>
      <c r="F30" s="33">
        <v>1318958069.5699999</v>
      </c>
      <c r="G30" s="33">
        <v>991629943.14999998</v>
      </c>
      <c r="H30" s="33">
        <v>968645271.14999998</v>
      </c>
      <c r="I30" s="7"/>
    </row>
    <row r="31" spans="2:9" x14ac:dyDescent="0.25">
      <c r="B31" s="31" t="s">
        <v>91</v>
      </c>
      <c r="C31" s="31" t="s">
        <v>92</v>
      </c>
      <c r="D31" s="33">
        <v>1500000000</v>
      </c>
      <c r="E31" s="33">
        <v>1358593647.1300001</v>
      </c>
      <c r="F31" s="33">
        <v>1284006634.1300001</v>
      </c>
      <c r="G31" s="33">
        <v>509256568.13999999</v>
      </c>
      <c r="H31" s="33">
        <v>492349683.13999999</v>
      </c>
      <c r="I31" s="7"/>
    </row>
    <row r="32" spans="2:9" x14ac:dyDescent="0.25">
      <c r="B32" s="31" t="s">
        <v>93</v>
      </c>
      <c r="C32" s="31" t="s">
        <v>94</v>
      </c>
      <c r="D32" s="33">
        <v>1500000000</v>
      </c>
      <c r="E32" s="33">
        <v>1499363538.98</v>
      </c>
      <c r="F32" s="33">
        <v>1498172335.1300001</v>
      </c>
      <c r="G32" s="33">
        <v>1436859482.4200001</v>
      </c>
      <c r="H32" s="33">
        <v>1413693611.4200001</v>
      </c>
      <c r="I32" s="7"/>
    </row>
    <row r="33" spans="2:9" ht="30" x14ac:dyDescent="0.25">
      <c r="B33" s="31" t="s">
        <v>95</v>
      </c>
      <c r="C33" s="31" t="s">
        <v>96</v>
      </c>
      <c r="D33" s="33">
        <v>200000000</v>
      </c>
      <c r="E33" s="33">
        <v>105302385.05</v>
      </c>
      <c r="F33" s="33">
        <v>101527110.05</v>
      </c>
      <c r="G33" s="33">
        <v>22075212.050000001</v>
      </c>
      <c r="H33" s="33">
        <v>22075212.050000001</v>
      </c>
      <c r="I33" s="7"/>
    </row>
    <row r="34" spans="2:9" ht="30" x14ac:dyDescent="0.25">
      <c r="B34" s="31" t="s">
        <v>97</v>
      </c>
      <c r="C34" s="31" t="s">
        <v>98</v>
      </c>
      <c r="D34" s="33">
        <v>7829651160</v>
      </c>
      <c r="E34" s="33">
        <v>7605068438.1499996</v>
      </c>
      <c r="F34" s="33">
        <v>7517726503.1499996</v>
      </c>
      <c r="G34" s="33">
        <v>3320510886.5500002</v>
      </c>
      <c r="H34" s="33">
        <v>3289413935.5500002</v>
      </c>
      <c r="I34" s="7"/>
    </row>
    <row r="35" spans="2:9" x14ac:dyDescent="0.25">
      <c r="B35" s="32" t="s">
        <v>99</v>
      </c>
      <c r="C35" s="32" t="s">
        <v>100</v>
      </c>
      <c r="D35" s="33">
        <v>3366000000</v>
      </c>
      <c r="E35" s="33">
        <v>3359715079.46</v>
      </c>
      <c r="F35" s="33">
        <v>2075007780.1600001</v>
      </c>
      <c r="G35" s="33">
        <v>1398142774.1800001</v>
      </c>
      <c r="H35" s="33">
        <v>1380074774.1800001</v>
      </c>
      <c r="I35" s="7"/>
    </row>
    <row r="36" spans="2:9" ht="30" x14ac:dyDescent="0.25">
      <c r="B36" s="32" t="s">
        <v>103</v>
      </c>
      <c r="C36" s="32" t="s">
        <v>104</v>
      </c>
      <c r="D36" s="52">
        <v>1170348840</v>
      </c>
      <c r="E36" s="52">
        <v>1118178860.8800001</v>
      </c>
      <c r="F36" s="52">
        <v>966178860.88</v>
      </c>
      <c r="G36" s="52">
        <v>403444966</v>
      </c>
      <c r="H36" s="52">
        <v>247422483</v>
      </c>
      <c r="I36" s="7"/>
    </row>
    <row r="37" spans="2:9" x14ac:dyDescent="0.25">
      <c r="C37" s="1"/>
      <c r="D37" s="53"/>
      <c r="E37" s="53"/>
      <c r="F37" s="53"/>
      <c r="G37" s="53"/>
      <c r="H37" s="53"/>
    </row>
    <row r="38" spans="2:9" x14ac:dyDescent="0.25">
      <c r="C38" s="1"/>
      <c r="D38" s="53"/>
      <c r="E38" s="53"/>
      <c r="F38" s="53"/>
      <c r="G38" s="53"/>
      <c r="H38" s="53"/>
    </row>
    <row r="39" spans="2:9" x14ac:dyDescent="0.25">
      <c r="C3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6:N61"/>
  <sheetViews>
    <sheetView showGridLines="0" showRowColHeaders="0" workbookViewId="0"/>
  </sheetViews>
  <sheetFormatPr baseColWidth="10" defaultRowHeight="15" x14ac:dyDescent="0.25"/>
  <cols>
    <col min="2" max="2" width="31.140625" bestFit="1" customWidth="1"/>
    <col min="3" max="3" width="13.5703125" bestFit="1" customWidth="1"/>
    <col min="4" max="4" width="15" bestFit="1" customWidth="1"/>
    <col min="5" max="5" width="14.7109375" bestFit="1" customWidth="1"/>
    <col min="6" max="6" width="11.5703125" bestFit="1" customWidth="1"/>
  </cols>
  <sheetData>
    <row r="6" spans="1:14" x14ac:dyDescent="0.25">
      <c r="B6" s="6" t="s">
        <v>5</v>
      </c>
      <c r="C6" t="s">
        <v>22</v>
      </c>
      <c r="D6" t="s">
        <v>102</v>
      </c>
      <c r="E6" t="s">
        <v>19</v>
      </c>
      <c r="F6" t="s">
        <v>20</v>
      </c>
    </row>
    <row r="7" spans="1:14" x14ac:dyDescent="0.25">
      <c r="B7" s="2" t="s">
        <v>28</v>
      </c>
      <c r="C7" s="35">
        <v>74780.665238999994</v>
      </c>
      <c r="D7" s="35">
        <v>59994.612168750005</v>
      </c>
      <c r="E7" s="35">
        <v>57506.423101339999</v>
      </c>
      <c r="F7" s="35">
        <v>56750.737390339993</v>
      </c>
    </row>
    <row r="8" spans="1:14" x14ac:dyDescent="0.25">
      <c r="B8" s="2" t="s">
        <v>29</v>
      </c>
      <c r="C8" s="35">
        <v>608283.88239899999</v>
      </c>
      <c r="D8" s="35">
        <v>473833.88903999998</v>
      </c>
      <c r="E8" s="35">
        <v>473833.88903999998</v>
      </c>
      <c r="F8" s="35">
        <v>473833.88903999998</v>
      </c>
    </row>
    <row r="9" spans="1:14" x14ac:dyDescent="0.25">
      <c r="B9" s="2" t="s">
        <v>30</v>
      </c>
      <c r="C9" s="35">
        <v>2233693.0285069998</v>
      </c>
      <c r="D9" s="35">
        <v>2189551.4762142599</v>
      </c>
      <c r="E9" s="35">
        <v>74762.086816430005</v>
      </c>
      <c r="F9" s="35">
        <v>71435.446565430015</v>
      </c>
    </row>
    <row r="10" spans="1:14" x14ac:dyDescent="0.25">
      <c r="B10" s="2" t="s">
        <v>6</v>
      </c>
      <c r="C10" s="35">
        <v>2916757.5761449998</v>
      </c>
      <c r="D10" s="35">
        <v>2723379.9774230099</v>
      </c>
      <c r="E10" s="35">
        <v>606102.39895776997</v>
      </c>
      <c r="F10" s="35">
        <v>602020.07299577002</v>
      </c>
      <c r="H10" s="9"/>
      <c r="J10" s="9"/>
    </row>
    <row r="16" spans="1:1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B39" s="39"/>
      <c r="C39" s="39"/>
      <c r="D39" s="39"/>
      <c r="E39" s="39"/>
      <c r="F39" s="39"/>
      <c r="G39" s="39"/>
      <c r="H39" s="39"/>
      <c r="I39" s="25"/>
      <c r="J39" s="25"/>
      <c r="K39" s="25" t="s">
        <v>21</v>
      </c>
      <c r="L39" s="25"/>
      <c r="M39" s="25"/>
      <c r="N39" s="25"/>
    </row>
    <row r="40" spans="1:14" x14ac:dyDescent="0.25">
      <c r="A40" s="25"/>
      <c r="B40" s="28"/>
      <c r="C40" s="28"/>
      <c r="D40" s="28"/>
      <c r="E40" s="28"/>
      <c r="F40" s="28"/>
      <c r="G40" s="28"/>
      <c r="H40" s="28"/>
      <c r="I40" s="28"/>
      <c r="J40" s="28"/>
      <c r="K40" s="25"/>
      <c r="L40" s="25"/>
      <c r="M40" s="25"/>
      <c r="N40" s="25"/>
    </row>
    <row r="41" spans="1:14" s="15" customFormat="1" x14ac:dyDescent="0.25">
      <c r="A41" s="26"/>
      <c r="B41" s="54" t="s">
        <v>5</v>
      </c>
      <c r="C41" s="54" t="s">
        <v>22</v>
      </c>
      <c r="D41" s="54" t="s">
        <v>102</v>
      </c>
      <c r="E41" s="54" t="s">
        <v>19</v>
      </c>
      <c r="F41" s="54" t="s">
        <v>20</v>
      </c>
      <c r="K41" s="26"/>
      <c r="L41" s="26"/>
      <c r="M41" s="26"/>
      <c r="N41" s="26"/>
    </row>
    <row r="42" spans="1:14" s="15" customFormat="1" x14ac:dyDescent="0.25">
      <c r="A42" s="26"/>
      <c r="B42" s="55" t="s">
        <v>28</v>
      </c>
      <c r="C42" s="56">
        <f>+GETPIVOTDATA("APROPIACION",$B$6,"DESCRIPCION","A-FUNCIONAMIENTO")</f>
        <v>74780.665238999994</v>
      </c>
      <c r="D42" s="57">
        <f>+GETPIVOTDATA("COMPROMISOS",$B$6,"DESCRIPCION","A-FUNCIONAMIENTO")/C42</f>
        <v>0.80227438438808252</v>
      </c>
      <c r="E42" s="57">
        <f>+GETPIVOTDATA(" OBLIGACIONES",$B$6,"DESCRIPCION","A-FUNCIONAMIENTO")/C42</f>
        <v>0.76900122401356974</v>
      </c>
      <c r="F42" s="57">
        <f>+GETPIVOTDATA(" PAGOS",$B$6,"DESCRIPCION","A-FUNCIONAMIENTO")/GETPIVOTDATA("APROPIACION",$B$6,"DESCRIPCION","A-FUNCIONAMIENTO")</f>
        <v>0.75889586177073831</v>
      </c>
      <c r="K42" s="26"/>
      <c r="L42" s="26"/>
      <c r="M42" s="26"/>
      <c r="N42" s="26"/>
    </row>
    <row r="43" spans="1:14" s="15" customFormat="1" x14ac:dyDescent="0.25">
      <c r="A43" s="26"/>
      <c r="B43" s="55" t="s">
        <v>29</v>
      </c>
      <c r="C43" s="56">
        <f>+GETPIVOTDATA("APROPIACION",$B$6,"DESCRIPCION","B-SERVICIO DE LA DEUDA PÚBLICA")</f>
        <v>608283.88239899999</v>
      </c>
      <c r="D43" s="57">
        <f>+GETPIVOTDATA("COMPROMISOS",$B$6,"DESCRIPCION","B-SERVICIO DE LA DEUDA PÚBLICA")/C43</f>
        <v>0.7789683447985748</v>
      </c>
      <c r="E43" s="57">
        <f>+GETPIVOTDATA(" OBLIGACIONES",$B$6,"DESCRIPCION","B-SERVICIO DE LA DEUDA PÚBLICA")/GETPIVOTDATA("APROPIACION",$B$6,"DESCRIPCION","B-SERVICIO DE LA DEUDA PÚBLICA")</f>
        <v>0.7789683447985748</v>
      </c>
      <c r="F43" s="57">
        <f>+GETPIVOTDATA(" PAGOS",$B$6,"DESCRIPCION","B-SERVICIO DE LA DEUDA PÚBLICA")/GETPIVOTDATA("APROPIACION",$B$6,"DESCRIPCION","B-SERVICIO DE LA DEUDA PÚBLICA")</f>
        <v>0.7789683447985748</v>
      </c>
      <c r="K43" s="26"/>
      <c r="L43" s="26"/>
      <c r="M43" s="26"/>
      <c r="N43" s="26"/>
    </row>
    <row r="44" spans="1:14" s="15" customFormat="1" x14ac:dyDescent="0.25">
      <c r="A44" s="26"/>
      <c r="B44" s="55" t="s">
        <v>30</v>
      </c>
      <c r="C44" s="56">
        <f>+GETPIVOTDATA("APROPIACION",$B$6,"DESCRIPCION","C- INVERSION")</f>
        <v>2233693.0285069998</v>
      </c>
      <c r="D44" s="57">
        <f>+GETPIVOTDATA("COMPROMISOS",$B$6,"DESCRIPCION","C- INVERSION")/C44</f>
        <v>0.98023830860848227</v>
      </c>
      <c r="E44" s="58">
        <f>+GETPIVOTDATA(" OBLIGACIONES",$B$6,"DESCRIPCION","C- INVERSION")/GETPIVOTDATA("APROPIACION",$B$6,"DESCRIPCION","C- INVERSION")</f>
        <v>3.3470170637726789E-2</v>
      </c>
      <c r="F44" s="58">
        <f>+GETPIVOTDATA(" PAGOS",$B$6,"DESCRIPCION","C- INVERSION")/GETPIVOTDATA("APROPIACION",$B$6,"DESCRIPCION","C- INVERSION")</f>
        <v>3.1980870089914487E-2</v>
      </c>
      <c r="K44" s="26"/>
      <c r="L44" s="26"/>
      <c r="M44" s="26"/>
      <c r="N44" s="26"/>
    </row>
    <row r="45" spans="1:14" s="15" customFormat="1" x14ac:dyDescent="0.25">
      <c r="A45" s="26"/>
      <c r="B45" s="59" t="s">
        <v>6</v>
      </c>
      <c r="C45" s="60">
        <f>+GETPIVOTDATA("APROPIACION",$B$6)</f>
        <v>2916757.5761449998</v>
      </c>
      <c r="D45" s="61">
        <f>+GETPIVOTDATA("COMPROMISOS",$B$6)/GETPIVOTDATA("APROPIACION",$B$6)</f>
        <v>0.93370117547527831</v>
      </c>
      <c r="E45" s="62">
        <f>+GETPIVOTDATA(" OBLIGACIONES",$B$6)/GETPIVOTDATA("APROPIACION",$B$6)</f>
        <v>0.20780005987293576</v>
      </c>
      <c r="F45" s="61">
        <f>+GETPIVOTDATA(" PAGOS",$B$6)/GETPIVOTDATA("APROPIACION",$B$6)</f>
        <v>0.20640044888181752</v>
      </c>
      <c r="K45" s="26"/>
      <c r="L45" s="26"/>
      <c r="M45" s="26"/>
      <c r="N45" s="26"/>
    </row>
    <row r="46" spans="1:14" s="15" customFormat="1" x14ac:dyDescent="0.25">
      <c r="A46" s="21"/>
      <c r="K46" s="21"/>
    </row>
    <row r="47" spans="1:14" x14ac:dyDescent="0.25">
      <c r="A47" s="20"/>
      <c r="B47" s="28"/>
      <c r="C47" s="28"/>
      <c r="D47" s="28"/>
      <c r="E47" s="28"/>
      <c r="F47" s="28"/>
      <c r="G47" s="28"/>
      <c r="H47" s="28"/>
      <c r="I47" s="28"/>
      <c r="J47" s="28"/>
      <c r="K47" s="20"/>
    </row>
    <row r="48" spans="1:14" x14ac:dyDescent="0.25">
      <c r="A48" s="20"/>
      <c r="B48" s="28"/>
      <c r="C48" s="28"/>
      <c r="D48" s="28"/>
      <c r="E48" s="28"/>
      <c r="F48" s="28"/>
      <c r="G48" s="28"/>
      <c r="H48" s="28"/>
      <c r="I48" s="28"/>
      <c r="J48" s="28"/>
      <c r="K48" s="20"/>
    </row>
    <row r="49" spans="1:11" x14ac:dyDescent="0.25">
      <c r="A49" s="20"/>
      <c r="B49" s="28"/>
      <c r="C49" s="28"/>
      <c r="D49" s="28"/>
      <c r="E49" s="28"/>
      <c r="F49" s="28"/>
      <c r="G49" s="28"/>
      <c r="H49" s="28"/>
      <c r="I49" s="28"/>
      <c r="J49" s="28"/>
      <c r="K49" s="20"/>
    </row>
    <row r="50" spans="1:11" x14ac:dyDescent="0.25">
      <c r="A50" s="20"/>
      <c r="B50" s="28"/>
      <c r="C50" s="28"/>
      <c r="D50" s="28"/>
      <c r="E50" s="28"/>
      <c r="F50" s="28"/>
      <c r="G50" s="28"/>
      <c r="H50" s="28"/>
      <c r="I50" s="28"/>
      <c r="J50" s="28"/>
      <c r="K50" s="20"/>
    </row>
    <row r="51" spans="1:11" x14ac:dyDescent="0.25">
      <c r="B51" s="28"/>
      <c r="C51" s="28"/>
      <c r="D51" s="28"/>
      <c r="E51" s="28"/>
      <c r="F51" s="28"/>
      <c r="G51" s="28"/>
      <c r="H51" s="28"/>
      <c r="I51" s="28"/>
      <c r="J51" s="28"/>
    </row>
    <row r="52" spans="1:11" x14ac:dyDescent="0.25">
      <c r="B52" s="28"/>
      <c r="C52" s="28"/>
      <c r="D52" s="28"/>
      <c r="E52" s="28"/>
      <c r="F52" s="28"/>
      <c r="G52" s="28"/>
      <c r="H52" s="28"/>
      <c r="I52" s="28"/>
      <c r="J52" s="28"/>
    </row>
    <row r="53" spans="1:11" x14ac:dyDescent="0.25">
      <c r="B53" s="28"/>
      <c r="C53" s="28"/>
      <c r="D53" s="28"/>
      <c r="E53" s="28"/>
      <c r="F53" s="28"/>
      <c r="G53" s="28"/>
      <c r="H53" s="28"/>
      <c r="I53" s="28"/>
      <c r="J53" s="28"/>
    </row>
    <row r="54" spans="1:11" x14ac:dyDescent="0.25">
      <c r="B54" s="28"/>
      <c r="C54" s="28"/>
      <c r="D54" s="28"/>
      <c r="E54" s="28"/>
      <c r="F54" s="28"/>
      <c r="G54" s="28"/>
      <c r="H54" s="28"/>
      <c r="I54" s="28"/>
      <c r="J54" s="28"/>
    </row>
    <row r="55" spans="1:11" x14ac:dyDescent="0.25">
      <c r="B55" s="28"/>
      <c r="C55" s="28"/>
      <c r="D55" s="28"/>
      <c r="E55" s="28"/>
      <c r="F55" s="28"/>
      <c r="G55" s="28"/>
      <c r="H55" s="28"/>
      <c r="I55" s="28"/>
      <c r="J55" s="28"/>
    </row>
    <row r="56" spans="1:11" x14ac:dyDescent="0.25">
      <c r="B56" s="28"/>
      <c r="C56" s="28"/>
      <c r="D56" s="28"/>
      <c r="E56" s="28"/>
      <c r="F56" s="28"/>
      <c r="G56" s="28"/>
      <c r="H56" s="28"/>
      <c r="I56" s="28"/>
      <c r="J56" s="28"/>
    </row>
    <row r="57" spans="1:11" x14ac:dyDescent="0.25">
      <c r="B57" s="28"/>
      <c r="C57" s="28"/>
      <c r="D57" s="28"/>
      <c r="E57" s="28"/>
      <c r="F57" s="28"/>
      <c r="G57" s="28"/>
      <c r="H57" s="28"/>
      <c r="I57" s="28"/>
      <c r="J57" s="28"/>
    </row>
    <row r="58" spans="1:11" x14ac:dyDescent="0.25">
      <c r="B58" s="28"/>
      <c r="C58" s="28"/>
      <c r="D58" s="28"/>
      <c r="E58" s="28"/>
      <c r="F58" s="28"/>
      <c r="G58" s="28"/>
      <c r="H58" s="28"/>
      <c r="I58" s="28"/>
      <c r="J58" s="28"/>
    </row>
    <row r="59" spans="1:11" x14ac:dyDescent="0.25">
      <c r="B59" s="28"/>
      <c r="C59" s="28"/>
      <c r="D59" s="28"/>
      <c r="E59" s="28"/>
      <c r="F59" s="28"/>
      <c r="G59" s="28"/>
      <c r="H59" s="28"/>
      <c r="I59" s="28"/>
      <c r="J59" s="28"/>
    </row>
    <row r="60" spans="1:11" x14ac:dyDescent="0.25">
      <c r="B60" s="28"/>
      <c r="C60" s="28"/>
      <c r="D60" s="28"/>
      <c r="E60" s="28"/>
      <c r="F60" s="28"/>
      <c r="G60" s="28"/>
      <c r="H60" s="28"/>
      <c r="I60" s="28"/>
      <c r="J60" s="28"/>
    </row>
    <row r="61" spans="1:11" x14ac:dyDescent="0.25">
      <c r="B61" s="28"/>
      <c r="C61" s="28"/>
      <c r="D61" s="28"/>
      <c r="E61" s="28"/>
      <c r="F61" s="28"/>
      <c r="G61" s="28"/>
      <c r="H61" s="28"/>
      <c r="I61" s="28"/>
      <c r="J61" s="28"/>
    </row>
  </sheetData>
  <pageMargins left="0.7" right="0.7" top="0.75" bottom="0.75" header="0.3" footer="0.3"/>
  <pageSetup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6:H62"/>
  <sheetViews>
    <sheetView showGridLines="0" showRowColHeaders="0" workbookViewId="0"/>
  </sheetViews>
  <sheetFormatPr baseColWidth="10" defaultRowHeight="15" x14ac:dyDescent="0.25"/>
  <cols>
    <col min="1" max="1" width="7.42578125" customWidth="1"/>
    <col min="2" max="2" width="60.28515625" bestFit="1" customWidth="1"/>
    <col min="3" max="3" width="14" bestFit="1" customWidth="1"/>
    <col min="4" max="4" width="15.42578125" bestFit="1" customWidth="1"/>
    <col min="5" max="5" width="14.7109375" bestFit="1" customWidth="1"/>
    <col min="6" max="6" width="14.42578125" bestFit="1" customWidth="1"/>
  </cols>
  <sheetData>
    <row r="6" spans="2:6" ht="30" x14ac:dyDescent="0.25">
      <c r="B6" s="6" t="s">
        <v>5</v>
      </c>
      <c r="C6" s="23" t="s">
        <v>23</v>
      </c>
      <c r="D6" s="23" t="s">
        <v>12</v>
      </c>
      <c r="E6" s="23" t="s">
        <v>13</v>
      </c>
      <c r="F6" s="23" t="s">
        <v>18</v>
      </c>
    </row>
    <row r="7" spans="2:6" x14ac:dyDescent="0.25">
      <c r="B7" s="2" t="s">
        <v>31</v>
      </c>
      <c r="C7" s="35">
        <v>45158</v>
      </c>
      <c r="D7" s="35">
        <v>39496.86514193</v>
      </c>
      <c r="E7" s="35">
        <v>39469.638320599995</v>
      </c>
      <c r="F7" s="35">
        <v>38799.519420600001</v>
      </c>
    </row>
    <row r="8" spans="2:6" x14ac:dyDescent="0.25">
      <c r="B8" s="2" t="s">
        <v>32</v>
      </c>
      <c r="C8" s="35">
        <v>17402.665239000002</v>
      </c>
      <c r="D8" s="35">
        <v>16914.307193839999</v>
      </c>
      <c r="E8" s="35">
        <v>15143.389125859998</v>
      </c>
      <c r="F8" s="35">
        <v>15057.822314859999</v>
      </c>
    </row>
    <row r="9" spans="2:6" x14ac:dyDescent="0.25">
      <c r="B9" s="2" t="s">
        <v>33</v>
      </c>
      <c r="C9" s="35">
        <v>8644</v>
      </c>
      <c r="D9" s="35">
        <v>3583.4398329800001</v>
      </c>
      <c r="E9" s="35">
        <v>2893.3956548799997</v>
      </c>
      <c r="F9" s="35">
        <v>2893.3956548799997</v>
      </c>
    </row>
    <row r="10" spans="2:6" ht="30" x14ac:dyDescent="0.25">
      <c r="B10" s="16" t="s">
        <v>34</v>
      </c>
      <c r="C10" s="35">
        <v>3576</v>
      </c>
      <c r="D10" s="35">
        <v>0</v>
      </c>
      <c r="E10" s="35">
        <v>0</v>
      </c>
      <c r="F10" s="35">
        <v>0</v>
      </c>
    </row>
    <row r="11" spans="2:6" x14ac:dyDescent="0.25">
      <c r="B11" s="2" t="s">
        <v>6</v>
      </c>
      <c r="C11" s="35">
        <v>74780.665238999994</v>
      </c>
      <c r="D11" s="35">
        <v>59994.612168749998</v>
      </c>
      <c r="E11" s="35">
        <v>57506.423101339991</v>
      </c>
      <c r="F11" s="35">
        <v>56750.73739034</v>
      </c>
    </row>
    <row r="41" spans="1:8" x14ac:dyDescent="0.25">
      <c r="E41" s="9"/>
    </row>
    <row r="42" spans="1:8" x14ac:dyDescent="0.25">
      <c r="A42" s="20"/>
      <c r="B42" s="22"/>
      <c r="C42" s="22"/>
      <c r="D42" s="22"/>
      <c r="E42" s="22"/>
      <c r="F42" s="39" t="s">
        <v>111</v>
      </c>
      <c r="G42" s="27"/>
      <c r="H42" s="14"/>
    </row>
    <row r="43" spans="1:8" x14ac:dyDescent="0.25">
      <c r="A43" s="20"/>
      <c r="B43" s="22" t="s">
        <v>5</v>
      </c>
      <c r="C43" s="22" t="s">
        <v>23</v>
      </c>
      <c r="D43" s="22" t="s">
        <v>12</v>
      </c>
      <c r="E43" s="22" t="s">
        <v>13</v>
      </c>
      <c r="F43" s="22" t="s">
        <v>18</v>
      </c>
      <c r="G43" s="28"/>
      <c r="H43" s="14"/>
    </row>
    <row r="44" spans="1:8" x14ac:dyDescent="0.25">
      <c r="A44" s="20"/>
      <c r="B44" s="22" t="s">
        <v>31</v>
      </c>
      <c r="C44" s="22">
        <f>+GETPIVOTDATA(" APROPIACION
 VIGENTE",$B$6,"DESCRIPCION","A-01 -GASTOS DE PERSONAL")</f>
        <v>45158</v>
      </c>
      <c r="D44" s="29">
        <f>+GETPIVOTDATA(" COMPROMISOS
 ACUMULADOS",$B$6,"DESCRIPCION","A-01 -GASTOS DE PERSONAL")/GETPIVOTDATA(" APROPIACION
 VIGENTE",$B$6,"DESCRIPCION","A-01 -GASTOS DE PERSONAL")</f>
        <v>0.87463716599340091</v>
      </c>
      <c r="E44" s="29">
        <f>+GETPIVOTDATA(" OBLIGACIONES
 ACUMULADAS",$B$6,"DESCRIPCION","A-01 -GASTOS DE PERSONAL")/GETPIVOTDATA(" APROPIACION
 VIGENTE",$B$6,"DESCRIPCION","A-01 -GASTOS DE PERSONAL")</f>
        <v>0.87403424245094985</v>
      </c>
      <c r="F44" s="29">
        <f>+GETPIVOTDATA(" PAGOS
 ACUMULADOS",$B$6,"DESCRIPCION","A-01 -GASTOS DE PERSONAL")/GETPIVOTDATA(" APROPIACION
 VIGENTE",$B$6,"DESCRIPCION","A-01 -GASTOS DE PERSONAL")</f>
        <v>0.85919481422117905</v>
      </c>
      <c r="G44" s="22"/>
      <c r="H44" s="39"/>
    </row>
    <row r="45" spans="1:8" x14ac:dyDescent="0.25">
      <c r="A45" s="20"/>
      <c r="B45" s="22" t="s">
        <v>32</v>
      </c>
      <c r="C45" s="22">
        <f>+GETPIVOTDATA(" APROPIACION
 VIGENTE",$B$6,"DESCRIPCION","A-02 -ADQUISICIÓN DE BIENES  Y SERVICIOS")</f>
        <v>17402.665239000002</v>
      </c>
      <c r="D45" s="29">
        <f>+GETPIVOTDATA(" COMPROMISOS
 ACUMULADOS",$B$6,"DESCRIPCION","A-02 -ADQUISICIÓN DE BIENES  Y SERVICIOS")/GETPIVOTDATA(" APROPIACION
 VIGENTE",$B$6,"DESCRIPCION","A-02 -ADQUISICIÓN DE BIENES  Y SERVICIOS")</f>
        <v>0.97193774410682943</v>
      </c>
      <c r="E45" s="29">
        <f>+GETPIVOTDATA(" OBLIGACIONES
 ACUMULADAS",$B$6,"DESCRIPCION","A-02 -ADQUISICIÓN DE BIENES  Y SERVICIOS")/GETPIVOTDATA(" APROPIACION
 VIGENTE",$B$6,"DESCRIPCION","A-02 -ADQUISICIÓN DE BIENES  Y SERVICIOS")</f>
        <v>0.8701764309022687</v>
      </c>
      <c r="F45" s="29">
        <f>+GETPIVOTDATA(" PAGOS
 ACUMULADOS",$B$6,"DESCRIPCION","A-02 -ADQUISICIÓN DE BIENES  Y SERVICIOS")/GETPIVOTDATA(" APROPIACION
 VIGENTE",$B$6,"DESCRIPCION","A-02 -ADQUISICIÓN DE BIENES  Y SERVICIOS")</f>
        <v>0.86525955122752551</v>
      </c>
      <c r="G45" s="22"/>
      <c r="H45" s="39"/>
    </row>
    <row r="46" spans="1:8" x14ac:dyDescent="0.25">
      <c r="A46" s="20"/>
      <c r="B46" s="22" t="s">
        <v>33</v>
      </c>
      <c r="C46" s="22">
        <f>+GETPIVOTDATA(" APROPIACION
 VIGENTE",$B$6,"DESCRIPCION","A-03-TRANSFERENCIAS CORRIENTES")</f>
        <v>8644</v>
      </c>
      <c r="D46" s="29">
        <f>+GETPIVOTDATA(" COMPROMISOS
 ACUMULADOS",$B$6,"DESCRIPCION","A-03-TRANSFERENCIAS CORRIENTES")/GETPIVOTDATA(" APROPIACION
 VIGENTE",$B$6,"DESCRIPCION","A-03-TRANSFERENCIAS CORRIENTES")</f>
        <v>0.41455805564322074</v>
      </c>
      <c r="E46" s="29">
        <f>+GETPIVOTDATA(" OBLIGACIONES
 ACUMULADAS",$B$6,"DESCRIPCION","A-03-TRANSFERENCIAS CORRIENTES")/GETPIVOTDATA(" APROPIACION
 VIGENTE",$B$6,"DESCRIPCION","A-03-TRANSFERENCIAS CORRIENTES")</f>
        <v>0.33472878931975936</v>
      </c>
      <c r="F46" s="29">
        <f>+GETPIVOTDATA(" PAGOS
 ACUMULADOS",$B$6,"DESCRIPCION","A-03-TRANSFERENCIAS CORRIENTES")/GETPIVOTDATA(" APROPIACION
 VIGENTE",$B$6,"DESCRIPCION","A-03-TRANSFERENCIAS CORRIENTES")</f>
        <v>0.33472878931975936</v>
      </c>
      <c r="G46" s="22"/>
      <c r="H46" s="39"/>
    </row>
    <row r="47" spans="1:8" x14ac:dyDescent="0.25">
      <c r="A47" s="20"/>
      <c r="B47" s="22" t="s">
        <v>34</v>
      </c>
      <c r="C47" s="22">
        <f>+GETPIVOTDATA(" APROPIACION
 VIGENTE",$B$6,"DESCRIPCION","A-08-GASTOS POR TRIBUTOS, MULTAS, SANCIONES E INTERESES DE MORA")</f>
        <v>3576</v>
      </c>
      <c r="D47" s="29">
        <f>+GETPIVOTDATA(" COMPROMISOS
 ACUMULADOS",$B$6,"DESCRIPCION","A-08-GASTOS POR TRIBUTOS, MULTAS, SANCIONES E INTERESES DE MORA")/GETPIVOTDATA(" APROPIACION
 VIGENTE",$B$6,"DESCRIPCION","A-08-GASTOS POR TRIBUTOS, MULTAS, SANCIONES E INTERESES DE MORA")</f>
        <v>0</v>
      </c>
      <c r="E47" s="29">
        <f>+GETPIVOTDATA(" OBLIGACIONES
 ACUMULADAS",$B$6,"DESCRIPCION","A-08-GASTOS POR TRIBUTOS, MULTAS, SANCIONES E INTERESES DE MORA")/GETPIVOTDATA(" APROPIACION
 VIGENTE",$B$6,"DESCRIPCION","A-08-GASTOS POR TRIBUTOS, MULTAS, SANCIONES E INTERESES DE MORA")</f>
        <v>0</v>
      </c>
      <c r="F47" s="29">
        <f>+GETPIVOTDATA(" PAGOS
 ACUMULADOS",$B$6,"DESCRIPCION","A-08-GASTOS POR TRIBUTOS, MULTAS, SANCIONES E INTERESES DE MORA")/GETPIVOTDATA(" APROPIACION
 VIGENTE",$B$6,"DESCRIPCION","A-08-GASTOS POR TRIBUTOS, MULTAS, SANCIONES E INTERESES DE MORA")</f>
        <v>0</v>
      </c>
      <c r="G47" s="22"/>
      <c r="H47" s="39"/>
    </row>
    <row r="48" spans="1:8" x14ac:dyDescent="0.25">
      <c r="A48" s="20"/>
      <c r="B48" s="22" t="s">
        <v>6</v>
      </c>
      <c r="C48" s="22">
        <f>+GETPIVOTDATA(" APROPIACION
 VIGENTE",$B$6)</f>
        <v>74780.665238999994</v>
      </c>
      <c r="D48" s="29">
        <f>+GETPIVOTDATA(" COMPROMISOS
 ACUMULADOS",$B$6)/GETPIVOTDATA(" APROPIACION
 VIGENTE",$B$6)</f>
        <v>0.80227438438808252</v>
      </c>
      <c r="E48" s="29">
        <f>+GETPIVOTDATA(" OBLIGACIONES
 ACUMULADAS",$B$6)/GETPIVOTDATA(" APROPIACION
 VIGENTE",$B$6)</f>
        <v>0.76900122401356963</v>
      </c>
      <c r="F48" s="29">
        <f>+GETPIVOTDATA(" PAGOS
 ACUMULADOS",$B$6)/GETPIVOTDATA(" APROPIACION
 VIGENTE",$B$6)</f>
        <v>0.75889586177073842</v>
      </c>
      <c r="G48" s="22"/>
      <c r="H48" s="39"/>
    </row>
    <row r="49" spans="1:8" x14ac:dyDescent="0.25">
      <c r="A49" s="20"/>
      <c r="B49" s="22"/>
      <c r="C49" s="22"/>
      <c r="D49" s="22"/>
      <c r="E49" s="22"/>
      <c r="F49" s="22"/>
      <c r="G49" s="22"/>
      <c r="H49" s="39"/>
    </row>
    <row r="50" spans="1:8" x14ac:dyDescent="0.25">
      <c r="A50" s="20"/>
      <c r="B50" s="22"/>
      <c r="C50" s="22"/>
      <c r="D50" s="22"/>
      <c r="E50" s="22"/>
      <c r="F50" s="22"/>
      <c r="G50" s="22"/>
      <c r="H50" s="39"/>
    </row>
    <row r="51" spans="1:8" x14ac:dyDescent="0.25">
      <c r="A51" s="20"/>
      <c r="B51" s="39"/>
      <c r="C51" s="39"/>
      <c r="D51" s="39"/>
      <c r="E51" s="39"/>
      <c r="F51" s="39"/>
      <c r="G51" s="39"/>
      <c r="H51" s="39"/>
    </row>
    <row r="52" spans="1:8" x14ac:dyDescent="0.25">
      <c r="A52" s="20"/>
      <c r="B52" s="39"/>
      <c r="C52" s="39"/>
      <c r="D52" s="39"/>
      <c r="E52" s="39"/>
      <c r="F52" s="39"/>
      <c r="G52" s="39"/>
      <c r="H52" s="39"/>
    </row>
    <row r="53" spans="1:8" x14ac:dyDescent="0.25">
      <c r="A53" s="14"/>
      <c r="B53" s="39"/>
      <c r="C53" s="39"/>
      <c r="D53" s="39"/>
      <c r="E53" s="39"/>
      <c r="F53" s="39"/>
      <c r="G53" s="39"/>
      <c r="H53" s="39"/>
    </row>
    <row r="54" spans="1:8" x14ac:dyDescent="0.25">
      <c r="B54" s="38"/>
      <c r="C54" s="38"/>
      <c r="D54" s="38"/>
      <c r="E54" s="38"/>
      <c r="F54" s="38"/>
      <c r="G54" s="39"/>
      <c r="H54" s="20"/>
    </row>
    <row r="55" spans="1:8" x14ac:dyDescent="0.25">
      <c r="B55" s="38"/>
      <c r="C55" s="38"/>
      <c r="D55" s="38"/>
      <c r="E55" s="38"/>
      <c r="F55" s="38"/>
      <c r="G55" s="20"/>
      <c r="H55" s="20"/>
    </row>
    <row r="56" spans="1:8" x14ac:dyDescent="0.25">
      <c r="B56" s="38"/>
      <c r="C56" s="38"/>
      <c r="D56" s="38"/>
      <c r="E56" s="38"/>
      <c r="F56" s="38"/>
      <c r="G56" s="20"/>
      <c r="H56" s="20"/>
    </row>
    <row r="57" spans="1:8" x14ac:dyDescent="0.25">
      <c r="B57" s="38"/>
      <c r="C57" s="38"/>
      <c r="D57" s="38"/>
      <c r="E57" s="38"/>
      <c r="F57" s="38"/>
      <c r="G57" s="20"/>
      <c r="H57" s="20"/>
    </row>
    <row r="58" spans="1:8" x14ac:dyDescent="0.25">
      <c r="B58" s="38"/>
      <c r="C58" s="38"/>
      <c r="D58" s="38"/>
      <c r="E58" s="38"/>
      <c r="F58" s="38"/>
      <c r="G58" s="20"/>
      <c r="H58" s="20"/>
    </row>
    <row r="59" spans="1:8" x14ac:dyDescent="0.25">
      <c r="B59" s="20"/>
      <c r="C59" s="20"/>
      <c r="D59" s="20"/>
      <c r="E59" s="20"/>
      <c r="F59" s="20"/>
      <c r="G59" s="20"/>
      <c r="H59" s="20"/>
    </row>
    <row r="60" spans="1:8" x14ac:dyDescent="0.25">
      <c r="B60" s="20"/>
      <c r="C60" s="20"/>
      <c r="D60" s="20"/>
      <c r="E60" s="20"/>
      <c r="F60" s="20"/>
      <c r="G60" s="20"/>
      <c r="H60" s="20"/>
    </row>
    <row r="61" spans="1:8" x14ac:dyDescent="0.25">
      <c r="B61" s="20"/>
      <c r="C61" s="20"/>
      <c r="D61" s="20"/>
      <c r="E61" s="20"/>
      <c r="F61" s="20"/>
      <c r="G61" s="20"/>
      <c r="H61" s="20"/>
    </row>
    <row r="62" spans="1:8" x14ac:dyDescent="0.25">
      <c r="B62" s="20"/>
      <c r="C62" s="20"/>
      <c r="D62" s="20"/>
      <c r="E62" s="20"/>
      <c r="F62" s="20"/>
      <c r="G62" s="20"/>
      <c r="H62" s="20"/>
    </row>
  </sheetData>
  <pageMargins left="0.70866141732283472" right="0.70866141732283472" top="0.74803149606299213" bottom="0.74803149606299213" header="0.31496062992125984" footer="0.31496062992125984"/>
  <pageSetup scale="59" orientation="landscape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B6:F40"/>
  <sheetViews>
    <sheetView showGridLines="0" showRowColHeaders="0" workbookViewId="0"/>
  </sheetViews>
  <sheetFormatPr baseColWidth="10" defaultRowHeight="15" x14ac:dyDescent="0.25"/>
  <cols>
    <col min="1" max="1" width="13.140625" customWidth="1"/>
    <col min="2" max="2" width="24.5703125" bestFit="1" customWidth="1"/>
    <col min="3" max="3" width="31.5703125" bestFit="1" customWidth="1"/>
    <col min="4" max="4" width="30.5703125" bestFit="1" customWidth="1"/>
    <col min="5" max="5" width="22.5703125" bestFit="1" customWidth="1"/>
  </cols>
  <sheetData>
    <row r="6" spans="2:6" x14ac:dyDescent="0.25">
      <c r="B6" s="13" t="s">
        <v>1</v>
      </c>
      <c r="C6" s="12" t="s">
        <v>101</v>
      </c>
    </row>
    <row r="8" spans="2:6" x14ac:dyDescent="0.25">
      <c r="B8" t="s">
        <v>16</v>
      </c>
      <c r="C8" t="s">
        <v>15</v>
      </c>
      <c r="D8" t="s">
        <v>17</v>
      </c>
      <c r="E8" t="s">
        <v>18</v>
      </c>
    </row>
    <row r="9" spans="2:6" x14ac:dyDescent="0.25">
      <c r="B9" s="36">
        <v>2233693028507</v>
      </c>
      <c r="C9" s="36">
        <v>2189551476214.2595</v>
      </c>
      <c r="D9" s="36">
        <v>74762086816.430008</v>
      </c>
      <c r="E9" s="36">
        <v>71435446565.429993</v>
      </c>
    </row>
    <row r="11" spans="2:6" x14ac:dyDescent="0.25">
      <c r="B11" s="24"/>
      <c r="F11" s="1"/>
    </row>
    <row r="15" spans="2:6" x14ac:dyDescent="0.25">
      <c r="E15" s="9" t="s">
        <v>21</v>
      </c>
    </row>
    <row r="36" spans="2:4" x14ac:dyDescent="0.25">
      <c r="B36" s="49" t="str">
        <f>+CONCATENATE("PROYECTO","  ",C6)</f>
        <v>PROYECTO  (Todas)</v>
      </c>
      <c r="C36" s="49"/>
      <c r="D36" s="49"/>
    </row>
    <row r="37" spans="2:4" ht="52.5" customHeight="1" x14ac:dyDescent="0.25">
      <c r="B37" s="49"/>
      <c r="C37" s="49"/>
      <c r="D37" s="49"/>
    </row>
    <row r="38" spans="2:4" x14ac:dyDescent="0.25">
      <c r="D38" s="10"/>
    </row>
    <row r="40" spans="2:4" x14ac:dyDescent="0.25">
      <c r="B40" s="11"/>
    </row>
  </sheetData>
  <sheetProtection autoFilter="0" pivotTables="0"/>
  <mergeCells count="1">
    <mergeCell ref="B36:D37"/>
  </mergeCells>
  <pageMargins left="0.70866141732283472" right="0.70866141732283472" top="0.74803149606299213" bottom="0.74803149606299213" header="0.31496062992125984" footer="0.31496062992125984"/>
  <pageSetup scale="77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cp:lastPrinted>2019-07-30T21:44:52Z</cp:lastPrinted>
  <dcterms:created xsi:type="dcterms:W3CDTF">2018-03-13T13:24:17Z</dcterms:created>
  <dcterms:modified xsi:type="dcterms:W3CDTF">2020-01-31T20:06:48Z</dcterms:modified>
</cp:coreProperties>
</file>